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2.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0.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1.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2.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3.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8_{0EBF7942-EC1C-4A97-B700-5D01608397E9}" xr6:coauthVersionLast="47" xr6:coauthVersionMax="47" xr10:uidLastSave="{00000000-0000-0000-0000-000000000000}"/>
  <bookViews>
    <workbookView xWindow="-110" yWindow="-110" windowWidth="19420" windowHeight="10300" xr2:uid="{00000000-000D-0000-FFFF-FFFF00000000}"/>
  </bookViews>
  <sheets>
    <sheet name="Sommaire" sheetId="26" r:id="rId1"/>
    <sheet name="Graphique 29" sheetId="1" r:id="rId2"/>
    <sheet name="Graphique 30" sheetId="2" r:id="rId3"/>
    <sheet name="Graphique 31" sheetId="3" r:id="rId4"/>
    <sheet name="Graphique 32" sheetId="4" r:id="rId5"/>
    <sheet name="Graphique 33" sheetId="5" r:id="rId6"/>
    <sheet name="Graphique 34" sheetId="6" r:id="rId7"/>
    <sheet name="Graphique 35" sheetId="7" r:id="rId8"/>
    <sheet name="Graphique 36" sheetId="8" r:id="rId9"/>
    <sheet name="Graphique 37" sheetId="9" r:id="rId10"/>
    <sheet name="Graphique 38" sheetId="10" r:id="rId11"/>
    <sheet name="Graphique 39" sheetId="11" r:id="rId12"/>
    <sheet name="Graphique 40" sheetId="12" r:id="rId13"/>
    <sheet name="Graphique 41" sheetId="13" r:id="rId14"/>
    <sheet name="Graphique 42" sheetId="14" r:id="rId15"/>
    <sheet name="Graphique 43" sheetId="15" r:id="rId16"/>
    <sheet name="Graphique 44" sheetId="16" r:id="rId17"/>
    <sheet name="Graphique 45" sheetId="17" r:id="rId18"/>
    <sheet name="Graphique 46" sheetId="18" r:id="rId19"/>
    <sheet name="Tableau 2" sheetId="20" r:id="rId20"/>
    <sheet name="Tableau 3" sheetId="21" r:id="rId21"/>
    <sheet name="Graphique 47" sheetId="24" r:id="rId22"/>
    <sheet name="Graphique 48" sheetId="25" r:id="rId23"/>
  </sheets>
  <externalReferences>
    <externalReference r:id="rId2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9" i="17" l="1"/>
  <c r="M8" i="17"/>
  <c r="L8" i="17"/>
  <c r="K8" i="17"/>
  <c r="J8" i="17"/>
  <c r="I8" i="17"/>
  <c r="H8" i="17"/>
  <c r="E17" i="24" l="1"/>
  <c r="AB15" i="12" l="1"/>
  <c r="AC15" i="12"/>
  <c r="AB12" i="12"/>
  <c r="AC9" i="12"/>
  <c r="N8" i="10"/>
  <c r="N7" i="10"/>
  <c r="Y30" i="8"/>
  <c r="X30" i="8"/>
  <c r="W30" i="8"/>
  <c r="V30" i="8"/>
  <c r="U30" i="8"/>
  <c r="T30" i="8"/>
  <c r="S30" i="8"/>
  <c r="R30" i="8"/>
  <c r="Q30" i="8"/>
  <c r="P30" i="8"/>
  <c r="O30" i="8"/>
  <c r="N30" i="8"/>
  <c r="M30" i="8"/>
  <c r="L30" i="8"/>
  <c r="K30" i="8"/>
  <c r="J30" i="8"/>
  <c r="I30" i="8"/>
  <c r="H30" i="8"/>
  <c r="G30" i="8"/>
  <c r="F30" i="8"/>
  <c r="E30" i="8"/>
  <c r="D30" i="8"/>
  <c r="C30" i="8"/>
  <c r="Y26" i="8"/>
  <c r="X26" i="8"/>
  <c r="W26" i="8"/>
  <c r="V26" i="8"/>
  <c r="U26" i="8"/>
  <c r="T26" i="8"/>
  <c r="S26" i="8"/>
  <c r="R26" i="8"/>
  <c r="Q26" i="8"/>
  <c r="P26" i="8"/>
  <c r="O26" i="8"/>
  <c r="N26" i="8"/>
  <c r="M26" i="8"/>
  <c r="L26" i="8"/>
  <c r="K26" i="8"/>
  <c r="J26" i="8"/>
  <c r="I26" i="8"/>
  <c r="H26" i="8"/>
  <c r="G26" i="8"/>
  <c r="F26" i="8"/>
  <c r="E26" i="8"/>
  <c r="D26" i="8"/>
  <c r="C26" i="8"/>
  <c r="Y22" i="8"/>
  <c r="X22" i="8"/>
  <c r="W22" i="8"/>
  <c r="V22" i="8"/>
  <c r="U22" i="8"/>
  <c r="T22" i="8"/>
  <c r="S22" i="8"/>
  <c r="R22" i="8"/>
  <c r="Q22" i="8"/>
  <c r="P22" i="8"/>
  <c r="O22" i="8"/>
  <c r="N22" i="8"/>
  <c r="M22" i="8"/>
  <c r="L22" i="8"/>
  <c r="K22" i="8"/>
  <c r="J22" i="8"/>
  <c r="I22" i="8"/>
  <c r="H22" i="8"/>
  <c r="G22" i="8"/>
  <c r="F22" i="8"/>
  <c r="E22" i="8"/>
  <c r="D22" i="8"/>
  <c r="C22" i="8"/>
  <c r="Y18" i="8"/>
  <c r="X18" i="8"/>
  <c r="W18" i="8"/>
  <c r="V18" i="8"/>
  <c r="U18" i="8"/>
  <c r="T18" i="8"/>
  <c r="S18" i="8"/>
  <c r="R18" i="8"/>
  <c r="Q18" i="8"/>
  <c r="P18" i="8"/>
  <c r="O18" i="8"/>
  <c r="N18" i="8"/>
  <c r="M18" i="8"/>
  <c r="L18" i="8"/>
  <c r="K18" i="8"/>
  <c r="J18" i="8"/>
  <c r="I18" i="8"/>
  <c r="H18" i="8"/>
  <c r="G18" i="8"/>
  <c r="F18" i="8"/>
  <c r="E18" i="8"/>
  <c r="D18" i="8"/>
  <c r="C18" i="8"/>
  <c r="R14" i="8"/>
  <c r="J14" i="8"/>
  <c r="Y13" i="8"/>
  <c r="Y14" i="8" s="1"/>
  <c r="X13" i="8"/>
  <c r="X14" i="8" s="1"/>
  <c r="W13" i="8"/>
  <c r="W14" i="8" s="1"/>
  <c r="V13" i="8"/>
  <c r="V14" i="8" s="1"/>
  <c r="U13" i="8"/>
  <c r="T13" i="8"/>
  <c r="T14" i="8" s="1"/>
  <c r="S13" i="8"/>
  <c r="S14" i="8" s="1"/>
  <c r="R13" i="8"/>
  <c r="Q13" i="8"/>
  <c r="Q14" i="8" s="1"/>
  <c r="P13" i="8"/>
  <c r="P14" i="8" s="1"/>
  <c r="O13" i="8"/>
  <c r="O14" i="8" s="1"/>
  <c r="N13" i="8"/>
  <c r="M13" i="8"/>
  <c r="M14" i="8" s="1"/>
  <c r="L13" i="8"/>
  <c r="L14" i="8" s="1"/>
  <c r="K13" i="8"/>
  <c r="K14" i="8" s="1"/>
  <c r="J13" i="8"/>
  <c r="I13" i="8"/>
  <c r="H13" i="8"/>
  <c r="H14" i="8" s="1"/>
  <c r="G13" i="8"/>
  <c r="G14" i="8" s="1"/>
  <c r="F13" i="8"/>
  <c r="F14" i="8" s="1"/>
  <c r="E13" i="8"/>
  <c r="E14" i="8" s="1"/>
  <c r="D13" i="8"/>
  <c r="D14" i="8" s="1"/>
  <c r="C13" i="8"/>
  <c r="C14" i="8" s="1"/>
  <c r="Y12" i="8"/>
  <c r="X12" i="8"/>
  <c r="W12" i="8"/>
  <c r="V12" i="8"/>
  <c r="U12" i="8"/>
  <c r="T12" i="8"/>
  <c r="S12" i="8"/>
  <c r="R12" i="8"/>
  <c r="Q12" i="8"/>
  <c r="P12" i="8"/>
  <c r="O12" i="8"/>
  <c r="N12" i="8"/>
  <c r="N14" i="8" s="1"/>
  <c r="M12" i="8"/>
  <c r="L12" i="8"/>
  <c r="K12" i="8"/>
  <c r="J12" i="8"/>
  <c r="I12" i="8"/>
  <c r="H12" i="8"/>
  <c r="G12" i="8"/>
  <c r="F12" i="8"/>
  <c r="E12" i="8"/>
  <c r="D12" i="8"/>
  <c r="C12" i="8"/>
  <c r="Y10" i="8"/>
  <c r="X10" i="8"/>
  <c r="W10" i="8"/>
  <c r="V10" i="8"/>
  <c r="U10" i="8"/>
  <c r="T10" i="8"/>
  <c r="S10" i="8"/>
  <c r="R10" i="8"/>
  <c r="Q10" i="8"/>
  <c r="P10" i="8"/>
  <c r="O10" i="8"/>
  <c r="N10" i="8"/>
  <c r="M10" i="8"/>
  <c r="L10" i="8"/>
  <c r="K10" i="8"/>
  <c r="J10" i="8"/>
  <c r="I10" i="8"/>
  <c r="H10" i="8"/>
  <c r="G10" i="8"/>
  <c r="F10" i="8"/>
  <c r="E10" i="8"/>
  <c r="D10" i="8"/>
  <c r="C10" i="8"/>
  <c r="I14" i="8" l="1"/>
  <c r="U14" i="8"/>
  <c r="Y17" i="7"/>
  <c r="Z17" i="7"/>
  <c r="X17" i="7"/>
  <c r="Z18" i="7" l="1"/>
  <c r="Z19" i="7"/>
  <c r="Z20" i="7"/>
  <c r="Z21" i="7"/>
  <c r="N8" i="6" l="1"/>
  <c r="N9" i="6"/>
  <c r="N10" i="6"/>
  <c r="N11" i="6"/>
  <c r="N13" i="6"/>
  <c r="N14" i="6"/>
  <c r="N16" i="6"/>
  <c r="N17" i="6"/>
  <c r="N18" i="6"/>
  <c r="N19" i="6"/>
  <c r="N20" i="6"/>
  <c r="D12" i="1"/>
  <c r="E12" i="1"/>
  <c r="F12" i="1"/>
  <c r="G12" i="1"/>
  <c r="H12" i="1"/>
  <c r="I12" i="1"/>
  <c r="J12" i="1"/>
  <c r="K12" i="1"/>
  <c r="L12" i="1"/>
  <c r="M12" i="1"/>
  <c r="N12" i="1"/>
  <c r="O12" i="1"/>
  <c r="P12" i="1"/>
  <c r="Q12" i="1"/>
  <c r="R12" i="1"/>
  <c r="S12" i="1"/>
  <c r="T12" i="1"/>
  <c r="U12" i="1"/>
  <c r="V12" i="1"/>
  <c r="W12" i="1"/>
  <c r="X12" i="1"/>
  <c r="Y12" i="1"/>
  <c r="Z12" i="1"/>
  <c r="AA12" i="1"/>
  <c r="AB12" i="1"/>
  <c r="AC12" i="1"/>
  <c r="AD12" i="1"/>
  <c r="AE12" i="1"/>
  <c r="AF12" i="1"/>
  <c r="AG12" i="1"/>
  <c r="AH12" i="1"/>
  <c r="AI12" i="1"/>
  <c r="AJ12" i="1"/>
  <c r="AK12" i="1"/>
  <c r="AL12" i="1"/>
  <c r="AM12" i="1"/>
  <c r="AN12" i="1"/>
  <c r="C12" i="1"/>
  <c r="D22" i="5" l="1"/>
  <c r="E22" i="5"/>
  <c r="F22" i="5"/>
  <c r="G22" i="5"/>
  <c r="H22" i="5"/>
  <c r="J22" i="5"/>
  <c r="K22" i="5"/>
  <c r="L22" i="5"/>
  <c r="M22" i="5"/>
  <c r="N22" i="5"/>
  <c r="C22" i="5"/>
  <c r="Y37" i="3" l="1"/>
  <c r="Y31" i="3"/>
  <c r="Y32" i="3"/>
  <c r="Y38" i="3"/>
  <c r="Y40" i="3"/>
  <c r="Y41" i="3"/>
  <c r="Y43" i="3"/>
  <c r="Y44" i="3"/>
  <c r="Y46" i="3"/>
  <c r="Y47" i="3"/>
  <c r="Y11" i="3"/>
  <c r="Y12" i="3"/>
  <c r="Y13" i="3" s="1"/>
  <c r="Y29" i="3"/>
  <c r="X29" i="3"/>
  <c r="W29" i="3"/>
  <c r="V29" i="3"/>
  <c r="U29" i="3"/>
  <c r="T29" i="3"/>
  <c r="S29" i="3"/>
  <c r="R29" i="3"/>
  <c r="Q29" i="3"/>
  <c r="P29" i="3"/>
  <c r="O29" i="3"/>
  <c r="N29" i="3"/>
  <c r="M29" i="3"/>
  <c r="L29" i="3"/>
  <c r="K29" i="3"/>
  <c r="J29" i="3"/>
  <c r="I29" i="3"/>
  <c r="H29" i="3"/>
  <c r="G29" i="3"/>
  <c r="F29" i="3"/>
  <c r="E29" i="3"/>
  <c r="D29" i="3"/>
  <c r="C29" i="3"/>
  <c r="Y25" i="3"/>
  <c r="X25" i="3"/>
  <c r="W25" i="3"/>
  <c r="V25" i="3"/>
  <c r="U25" i="3"/>
  <c r="T25" i="3"/>
  <c r="S25" i="3"/>
  <c r="R25" i="3"/>
  <c r="Q25" i="3"/>
  <c r="P25" i="3"/>
  <c r="O25" i="3"/>
  <c r="N25" i="3"/>
  <c r="M25" i="3"/>
  <c r="L25" i="3"/>
  <c r="K25" i="3"/>
  <c r="J25" i="3"/>
  <c r="I25" i="3"/>
  <c r="H25" i="3"/>
  <c r="G25" i="3"/>
  <c r="F25" i="3"/>
  <c r="E25" i="3"/>
  <c r="D25" i="3"/>
  <c r="C25" i="3"/>
  <c r="Y21" i="3"/>
  <c r="X21" i="3"/>
  <c r="W21" i="3"/>
  <c r="V21" i="3"/>
  <c r="U21" i="3"/>
  <c r="T21" i="3"/>
  <c r="S21" i="3"/>
  <c r="R21" i="3"/>
  <c r="Q21" i="3"/>
  <c r="P21" i="3"/>
  <c r="O21" i="3"/>
  <c r="N21" i="3"/>
  <c r="M21" i="3"/>
  <c r="L21" i="3"/>
  <c r="K21" i="3"/>
  <c r="J21" i="3"/>
  <c r="I21" i="3"/>
  <c r="H21" i="3"/>
  <c r="G21" i="3"/>
  <c r="F21" i="3"/>
  <c r="E21" i="3"/>
  <c r="D21" i="3"/>
  <c r="C21" i="3"/>
  <c r="Y17" i="3"/>
  <c r="X17" i="3"/>
  <c r="W17" i="3"/>
  <c r="V17" i="3"/>
  <c r="U17" i="3"/>
  <c r="T17" i="3"/>
  <c r="S17" i="3"/>
  <c r="R17" i="3"/>
  <c r="Q17" i="3"/>
  <c r="P17" i="3"/>
  <c r="O17" i="3"/>
  <c r="N17" i="3"/>
  <c r="M17" i="3"/>
  <c r="L17" i="3"/>
  <c r="K17" i="3"/>
  <c r="J17" i="3"/>
  <c r="I17" i="3"/>
  <c r="H17" i="3"/>
  <c r="G17" i="3"/>
  <c r="F17" i="3"/>
  <c r="E17" i="3"/>
  <c r="D17" i="3"/>
  <c r="C17" i="3"/>
  <c r="D9" i="3"/>
  <c r="E9" i="3"/>
  <c r="F9" i="3"/>
  <c r="G9" i="3"/>
  <c r="H9" i="3"/>
  <c r="I9" i="3"/>
  <c r="J9" i="3"/>
  <c r="K9" i="3"/>
  <c r="L9" i="3"/>
  <c r="M9" i="3"/>
  <c r="N9" i="3"/>
  <c r="O9" i="3"/>
  <c r="P9" i="3"/>
  <c r="Q9" i="3"/>
  <c r="R9" i="3"/>
  <c r="S9" i="3"/>
  <c r="T9" i="3"/>
  <c r="U9" i="3"/>
  <c r="V9" i="3"/>
  <c r="W9" i="3"/>
  <c r="X9" i="3"/>
  <c r="Y9" i="3"/>
  <c r="C9" i="3"/>
  <c r="C8" i="25" l="1"/>
  <c r="C10" i="25" s="1"/>
  <c r="D8" i="25"/>
  <c r="D10" i="25" s="1"/>
  <c r="E8" i="25"/>
  <c r="E10" i="25" s="1"/>
  <c r="F8" i="25"/>
  <c r="F10" i="25" s="1"/>
  <c r="G8" i="25"/>
  <c r="H8" i="25"/>
  <c r="H10" i="25" s="1"/>
  <c r="I8" i="25"/>
  <c r="I10" i="25" s="1"/>
  <c r="J8" i="25"/>
  <c r="J10" i="25" s="1"/>
  <c r="K8" i="25"/>
  <c r="K10" i="25" s="1"/>
  <c r="L8" i="25"/>
  <c r="L10" i="25" s="1"/>
  <c r="M8" i="25"/>
  <c r="M10" i="25" s="1"/>
  <c r="N8" i="25"/>
  <c r="N10" i="25" s="1"/>
  <c r="O8" i="25"/>
  <c r="P8" i="25"/>
  <c r="G10" i="25"/>
  <c r="O10" i="25"/>
  <c r="P10" i="25"/>
  <c r="E9" i="24"/>
  <c r="B10" i="24"/>
  <c r="B11" i="24" s="1"/>
  <c r="B12" i="24" s="1"/>
  <c r="B13" i="24" s="1"/>
  <c r="B14" i="24" s="1"/>
  <c r="B15" i="24" s="1"/>
  <c r="B16" i="24" s="1"/>
  <c r="B17" i="24" s="1"/>
  <c r="E10" i="24"/>
  <c r="E11" i="24"/>
  <c r="E12" i="24"/>
  <c r="E13" i="24"/>
  <c r="E14" i="24"/>
  <c r="E15" i="24"/>
  <c r="E16" i="24"/>
  <c r="C10" i="17"/>
  <c r="C11" i="17" s="1"/>
  <c r="D10" i="17"/>
  <c r="D11" i="17" s="1"/>
  <c r="E10" i="17"/>
  <c r="E11" i="17" s="1"/>
  <c r="F10" i="17"/>
  <c r="F11" i="17" s="1"/>
  <c r="G10" i="17"/>
  <c r="G11" i="17" s="1"/>
  <c r="H10" i="17"/>
  <c r="H11" i="17" s="1"/>
  <c r="I10" i="17"/>
  <c r="I11" i="17" s="1"/>
  <c r="J10" i="17"/>
  <c r="J11" i="17" s="1"/>
  <c r="K10" i="17"/>
  <c r="K11" i="17" s="1"/>
  <c r="L10" i="17"/>
  <c r="L11" i="17" s="1"/>
  <c r="M10" i="17"/>
  <c r="M11" i="17" s="1"/>
  <c r="N10" i="17"/>
  <c r="N11" i="17" s="1"/>
  <c r="I8" i="15" l="1"/>
  <c r="J8" i="15" s="1"/>
  <c r="I9" i="15"/>
  <c r="J9" i="15" s="1"/>
  <c r="I10" i="15"/>
  <c r="J10" i="15" s="1"/>
  <c r="I11" i="15"/>
  <c r="J11" i="15" s="1"/>
  <c r="I12" i="15"/>
  <c r="J12" i="15" s="1"/>
  <c r="I13" i="15"/>
  <c r="J13" i="15" s="1"/>
  <c r="I14" i="15"/>
  <c r="J14" i="15" s="1"/>
  <c r="I15" i="15"/>
  <c r="J15" i="15" s="1"/>
  <c r="I16" i="15"/>
  <c r="J16" i="15" s="1"/>
  <c r="I17" i="15"/>
  <c r="J17" i="15" s="1"/>
  <c r="I18" i="15"/>
  <c r="J18" i="15" s="1"/>
  <c r="I19" i="15"/>
  <c r="J19" i="15" s="1"/>
  <c r="I20" i="15"/>
  <c r="J20" i="15" s="1"/>
  <c r="I21" i="15"/>
  <c r="J21" i="15" s="1"/>
  <c r="I22" i="15"/>
  <c r="J22" i="15" s="1"/>
  <c r="I23" i="15"/>
  <c r="J23" i="15" s="1"/>
  <c r="I24" i="15"/>
  <c r="J24" i="15" s="1"/>
  <c r="I25" i="15"/>
  <c r="J25" i="15" s="1"/>
  <c r="I26" i="15"/>
  <c r="J26" i="15" s="1"/>
  <c r="I27" i="15"/>
  <c r="J27" i="15" s="1"/>
  <c r="I28" i="15"/>
  <c r="J28" i="15" s="1"/>
  <c r="I29" i="15"/>
  <c r="J29" i="15" s="1"/>
  <c r="I30" i="15"/>
  <c r="J30" i="15" s="1"/>
  <c r="I31" i="15"/>
  <c r="J31" i="15" s="1"/>
  <c r="I32" i="15"/>
  <c r="J32" i="15" s="1"/>
  <c r="I33" i="15"/>
  <c r="J33" i="15" s="1"/>
  <c r="I34" i="15"/>
  <c r="J34" i="15" s="1"/>
  <c r="I35" i="15"/>
  <c r="J35" i="15" s="1"/>
  <c r="I36" i="15"/>
  <c r="J36" i="15" s="1"/>
  <c r="I37" i="15"/>
  <c r="J37" i="15" s="1"/>
  <c r="I38" i="15"/>
  <c r="J38" i="15" s="1"/>
  <c r="I39" i="15"/>
  <c r="J39" i="15" s="1"/>
  <c r="I40" i="15"/>
  <c r="J40" i="15" s="1"/>
  <c r="I41" i="15"/>
  <c r="J41" i="15" s="1"/>
  <c r="I42" i="15"/>
  <c r="J42" i="15" s="1"/>
  <c r="I43" i="15"/>
  <c r="J43" i="15" s="1"/>
  <c r="I44" i="15"/>
  <c r="J44" i="15" s="1"/>
  <c r="I45" i="15"/>
  <c r="J45" i="15" s="1"/>
  <c r="I46" i="15"/>
  <c r="J46" i="15" s="1"/>
  <c r="I47" i="15"/>
  <c r="J47" i="15" s="1"/>
  <c r="I48" i="15"/>
  <c r="J48" i="15" s="1"/>
  <c r="I49" i="15"/>
  <c r="J49" i="15" s="1"/>
  <c r="I50" i="15"/>
  <c r="J50" i="15" s="1"/>
  <c r="I51" i="15"/>
  <c r="J51" i="15" s="1"/>
  <c r="I52" i="15"/>
  <c r="J52" i="15" s="1"/>
  <c r="I53" i="15"/>
  <c r="J53" i="15" s="1"/>
  <c r="I54" i="15"/>
  <c r="J54" i="15" s="1"/>
  <c r="I55" i="15"/>
  <c r="J55" i="15" s="1"/>
  <c r="I56" i="15"/>
  <c r="J56" i="15" s="1"/>
  <c r="I57" i="15"/>
  <c r="J57" i="15" s="1"/>
  <c r="I58" i="15"/>
  <c r="J58" i="15" s="1"/>
  <c r="I59" i="15"/>
  <c r="J59" i="15" s="1"/>
  <c r="I60" i="15"/>
  <c r="J60" i="15" s="1"/>
  <c r="I61" i="15"/>
  <c r="J61" i="15" s="1"/>
  <c r="I62" i="15"/>
  <c r="J62" i="15" s="1"/>
  <c r="I63" i="15"/>
  <c r="J63" i="15" s="1"/>
  <c r="I64" i="15"/>
  <c r="J64" i="15" s="1"/>
  <c r="I65" i="15"/>
  <c r="J65" i="15" s="1"/>
  <c r="I66" i="15"/>
  <c r="J66" i="15" s="1"/>
  <c r="I67" i="15"/>
  <c r="J67" i="15" s="1"/>
  <c r="I68" i="15"/>
  <c r="J68" i="15" s="1"/>
  <c r="I69" i="15"/>
  <c r="J69" i="15" s="1"/>
  <c r="I70" i="15"/>
  <c r="J70" i="15" s="1"/>
  <c r="I71" i="15"/>
  <c r="J71" i="15" s="1"/>
  <c r="I72" i="15"/>
  <c r="J72" i="15" s="1"/>
  <c r="I73" i="15"/>
  <c r="J73" i="15" s="1"/>
  <c r="I74" i="15"/>
  <c r="J74" i="15" s="1"/>
  <c r="I75" i="15"/>
  <c r="J75" i="15" s="1"/>
  <c r="I76" i="15"/>
  <c r="J76" i="15" s="1"/>
  <c r="I77" i="15"/>
  <c r="J77" i="15" s="1"/>
  <c r="I78" i="15"/>
  <c r="J78" i="15" s="1"/>
  <c r="I79" i="15"/>
  <c r="J79" i="15" s="1"/>
  <c r="I80" i="15"/>
  <c r="J80" i="15" s="1"/>
  <c r="I81" i="15"/>
  <c r="J81" i="15" s="1"/>
  <c r="I82" i="15"/>
  <c r="J82" i="15" s="1"/>
  <c r="I83" i="15"/>
  <c r="J83" i="15" s="1"/>
  <c r="I84" i="15"/>
  <c r="J84" i="15" s="1"/>
  <c r="I85" i="15"/>
  <c r="J85" i="15" s="1"/>
  <c r="I86" i="15"/>
  <c r="J86" i="15" s="1"/>
  <c r="I87" i="15"/>
  <c r="J87" i="15" s="1"/>
  <c r="I88" i="15"/>
  <c r="J88" i="15" s="1"/>
  <c r="I89" i="15"/>
  <c r="J89" i="15" s="1"/>
  <c r="I90" i="15"/>
  <c r="J90" i="15" s="1"/>
  <c r="I91" i="15"/>
  <c r="J91" i="15" s="1"/>
  <c r="I92" i="15"/>
  <c r="J92" i="15" s="1"/>
  <c r="I93" i="15"/>
  <c r="J93" i="15" s="1"/>
  <c r="I94" i="15"/>
  <c r="J94" i="15" s="1"/>
  <c r="I95" i="15"/>
  <c r="J95" i="15" s="1"/>
  <c r="I96" i="15"/>
  <c r="J96" i="15" s="1"/>
  <c r="I97" i="15"/>
  <c r="J97" i="15" s="1"/>
  <c r="I98" i="15"/>
  <c r="J98" i="15" s="1"/>
  <c r="I99" i="15"/>
  <c r="J99" i="15" s="1"/>
  <c r="I100" i="15"/>
  <c r="J100" i="15" s="1"/>
  <c r="I101" i="15"/>
  <c r="J101" i="15" s="1"/>
  <c r="I102" i="15"/>
  <c r="J102" i="15" s="1"/>
  <c r="I103" i="15"/>
  <c r="J103" i="15" s="1"/>
  <c r="I104" i="15"/>
  <c r="J104" i="15" s="1"/>
  <c r="I8" i="14"/>
  <c r="J8" i="14" s="1"/>
  <c r="I9" i="14"/>
  <c r="J9" i="14" s="1"/>
  <c r="I10" i="14"/>
  <c r="J10" i="14" s="1"/>
  <c r="I11" i="14"/>
  <c r="J11" i="14" s="1"/>
  <c r="I12" i="14"/>
  <c r="J12" i="14" s="1"/>
  <c r="I13" i="14"/>
  <c r="J13" i="14" s="1"/>
  <c r="I14" i="14"/>
  <c r="J14" i="14" s="1"/>
  <c r="I15" i="14"/>
  <c r="J15" i="14" s="1"/>
  <c r="I16" i="14"/>
  <c r="J16" i="14" s="1"/>
  <c r="I17" i="14"/>
  <c r="J17" i="14" s="1"/>
  <c r="I18" i="14"/>
  <c r="J18" i="14" s="1"/>
  <c r="I19" i="14"/>
  <c r="J19" i="14" s="1"/>
  <c r="I20" i="14"/>
  <c r="J20" i="14" s="1"/>
  <c r="I21" i="14"/>
  <c r="J21" i="14" s="1"/>
  <c r="I22" i="14"/>
  <c r="J22" i="14" s="1"/>
  <c r="I23" i="14"/>
  <c r="J23" i="14" s="1"/>
  <c r="I24" i="14"/>
  <c r="J24" i="14" s="1"/>
  <c r="I25" i="14"/>
  <c r="J25" i="14" s="1"/>
  <c r="I26" i="14"/>
  <c r="J26" i="14" s="1"/>
  <c r="I27" i="14"/>
  <c r="J27" i="14" s="1"/>
  <c r="I28" i="14"/>
  <c r="J28" i="14" s="1"/>
  <c r="I29" i="14"/>
  <c r="J29" i="14" s="1"/>
  <c r="I30" i="14"/>
  <c r="J30" i="14" s="1"/>
  <c r="I31" i="14"/>
  <c r="J31" i="14" s="1"/>
  <c r="I32" i="14"/>
  <c r="J32" i="14" s="1"/>
  <c r="I33" i="14"/>
  <c r="J33" i="14" s="1"/>
  <c r="I35" i="14"/>
  <c r="J35" i="14" s="1"/>
  <c r="I36" i="14"/>
  <c r="J36" i="14" s="1"/>
  <c r="I37" i="14"/>
  <c r="J37" i="14" s="1"/>
  <c r="I38" i="14"/>
  <c r="J38" i="14" s="1"/>
  <c r="I39" i="14"/>
  <c r="J39" i="14" s="1"/>
  <c r="I40" i="14"/>
  <c r="J40" i="14" s="1"/>
  <c r="I41" i="14"/>
  <c r="J41" i="14" s="1"/>
  <c r="I42" i="14"/>
  <c r="J42" i="14" s="1"/>
  <c r="I43" i="14"/>
  <c r="J43" i="14" s="1"/>
  <c r="I44" i="14"/>
  <c r="J44" i="14" s="1"/>
  <c r="I45" i="14"/>
  <c r="J45" i="14" s="1"/>
  <c r="I46" i="14"/>
  <c r="J46" i="14" s="1"/>
  <c r="I47" i="14"/>
  <c r="J47" i="14" s="1"/>
  <c r="I48" i="14"/>
  <c r="J48" i="14" s="1"/>
  <c r="I49" i="14"/>
  <c r="J49" i="14" s="1"/>
  <c r="I50" i="14"/>
  <c r="J50" i="14" s="1"/>
  <c r="I51" i="14"/>
  <c r="J51" i="14" s="1"/>
  <c r="I52" i="14"/>
  <c r="J52" i="14" s="1"/>
  <c r="I53" i="14"/>
  <c r="J53" i="14" s="1"/>
  <c r="I54" i="14"/>
  <c r="J54" i="14" s="1"/>
  <c r="I55" i="14"/>
  <c r="J55" i="14" s="1"/>
  <c r="I56" i="14"/>
  <c r="J56" i="14" s="1"/>
  <c r="I57" i="14"/>
  <c r="J57" i="14" s="1"/>
  <c r="I58" i="14"/>
  <c r="J58" i="14" s="1"/>
  <c r="I59" i="14"/>
  <c r="J59" i="14" s="1"/>
  <c r="I60" i="14"/>
  <c r="J60" i="14" s="1"/>
  <c r="I61" i="14"/>
  <c r="J61" i="14" s="1"/>
  <c r="I62" i="14"/>
  <c r="J62" i="14" s="1"/>
  <c r="I63" i="14"/>
  <c r="J63" i="14" s="1"/>
  <c r="I64" i="14"/>
  <c r="J64" i="14" s="1"/>
  <c r="I65" i="14"/>
  <c r="J65" i="14" s="1"/>
  <c r="I66" i="14"/>
  <c r="J66" i="14" s="1"/>
  <c r="I67" i="14"/>
  <c r="J67" i="14" s="1"/>
  <c r="I68" i="14"/>
  <c r="J68" i="14" s="1"/>
  <c r="I69" i="14"/>
  <c r="J69" i="14" s="1"/>
  <c r="I70" i="14"/>
  <c r="J70" i="14" s="1"/>
  <c r="I71" i="14"/>
  <c r="J71" i="14" s="1"/>
  <c r="I72" i="14"/>
  <c r="J72" i="14" s="1"/>
  <c r="I73" i="14"/>
  <c r="J73" i="14" s="1"/>
  <c r="I74" i="14"/>
  <c r="J74" i="14" s="1"/>
  <c r="I75" i="14"/>
  <c r="J75" i="14" s="1"/>
  <c r="I76" i="14"/>
  <c r="J76" i="14" s="1"/>
  <c r="I77" i="14"/>
  <c r="J77" i="14" s="1"/>
  <c r="I78" i="14"/>
  <c r="J78" i="14" s="1"/>
  <c r="I79" i="14"/>
  <c r="J79" i="14" s="1"/>
  <c r="I80" i="14"/>
  <c r="J80" i="14" s="1"/>
  <c r="I81" i="14"/>
  <c r="J81" i="14" s="1"/>
  <c r="I82" i="14"/>
  <c r="J82" i="14" s="1"/>
  <c r="I83" i="14"/>
  <c r="J83" i="14" s="1"/>
  <c r="I84" i="14"/>
  <c r="J84" i="14" s="1"/>
  <c r="I85" i="14"/>
  <c r="J85" i="14" s="1"/>
  <c r="I86" i="14"/>
  <c r="J86" i="14" s="1"/>
  <c r="I87" i="14"/>
  <c r="J87" i="14" s="1"/>
  <c r="I88" i="14"/>
  <c r="J88" i="14" s="1"/>
  <c r="I89" i="14"/>
  <c r="J89" i="14" s="1"/>
  <c r="I90" i="14"/>
  <c r="J90" i="14" s="1"/>
  <c r="I91" i="14"/>
  <c r="J91" i="14" s="1"/>
  <c r="I92" i="14"/>
  <c r="J92" i="14" s="1"/>
  <c r="I93" i="14"/>
  <c r="J93" i="14" s="1"/>
  <c r="I94" i="14"/>
  <c r="J94" i="14" s="1"/>
  <c r="I95" i="14"/>
  <c r="J95" i="14" s="1"/>
  <c r="I96" i="14"/>
  <c r="J96" i="14" s="1"/>
  <c r="I97" i="14"/>
  <c r="J97" i="14" s="1"/>
  <c r="I98" i="14"/>
  <c r="J98" i="14" s="1"/>
  <c r="I99" i="14"/>
  <c r="J99" i="14" s="1"/>
  <c r="I100" i="14"/>
  <c r="J100" i="14" s="1"/>
  <c r="I101" i="14"/>
  <c r="J101" i="14" s="1"/>
  <c r="I102" i="14"/>
  <c r="J102" i="14" s="1"/>
  <c r="I103" i="14"/>
  <c r="J103" i="14" s="1"/>
  <c r="I104" i="14"/>
  <c r="J104" i="14" s="1"/>
  <c r="I105" i="14"/>
  <c r="J105" i="14" s="1"/>
  <c r="I106" i="14"/>
  <c r="J106" i="14" s="1"/>
  <c r="I107" i="14"/>
  <c r="J107" i="14" s="1"/>
  <c r="I108" i="14"/>
  <c r="J108" i="14" s="1"/>
  <c r="I109" i="14"/>
  <c r="J109" i="14" s="1"/>
  <c r="I110" i="14"/>
  <c r="J110" i="14" s="1"/>
  <c r="I111" i="14"/>
  <c r="J111" i="14" s="1"/>
  <c r="I112" i="14"/>
  <c r="J112" i="14" s="1"/>
  <c r="I113" i="14"/>
  <c r="J113" i="14" s="1"/>
  <c r="I114" i="14"/>
  <c r="J114" i="14" s="1"/>
  <c r="I115" i="14"/>
  <c r="J115" i="14" s="1"/>
  <c r="I116" i="14"/>
  <c r="J116" i="14" s="1"/>
  <c r="I117" i="14"/>
  <c r="J117" i="14" s="1"/>
  <c r="I118" i="14"/>
  <c r="J118" i="14" s="1"/>
  <c r="I119" i="14"/>
  <c r="J119" i="14" s="1"/>
  <c r="I120" i="14"/>
  <c r="J120" i="14" s="1"/>
  <c r="I121" i="14"/>
  <c r="J121" i="14" s="1"/>
  <c r="I122" i="14"/>
  <c r="J122" i="14" s="1"/>
  <c r="I123" i="14"/>
  <c r="J123" i="14" s="1"/>
  <c r="I124" i="14"/>
  <c r="J124" i="14" s="1"/>
  <c r="I125" i="14"/>
  <c r="J125" i="14" s="1"/>
  <c r="I126" i="14"/>
  <c r="J126" i="14" s="1"/>
  <c r="I127" i="14"/>
  <c r="J127" i="14" s="1"/>
  <c r="I128" i="14"/>
  <c r="J128" i="14" s="1"/>
  <c r="I129" i="14"/>
  <c r="J129" i="14" s="1"/>
  <c r="I130" i="14"/>
  <c r="J130" i="14" s="1"/>
  <c r="I131" i="14"/>
  <c r="J131" i="14" s="1"/>
  <c r="I132" i="14"/>
  <c r="J132" i="14" s="1"/>
  <c r="I133" i="14"/>
  <c r="J133" i="14" s="1"/>
  <c r="I134" i="14"/>
  <c r="J134" i="14" s="1"/>
  <c r="I135" i="14"/>
  <c r="J135" i="14" s="1"/>
  <c r="I136" i="14"/>
  <c r="J136" i="14" s="1"/>
  <c r="I137" i="14"/>
  <c r="J137" i="14" s="1"/>
  <c r="I138" i="14"/>
  <c r="J138" i="14" s="1"/>
  <c r="I139" i="14"/>
  <c r="J139" i="14" s="1"/>
  <c r="I140" i="14"/>
  <c r="J140" i="14" s="1"/>
  <c r="I141" i="14"/>
  <c r="J141" i="14" s="1"/>
  <c r="I142" i="14"/>
  <c r="J142" i="14" s="1"/>
  <c r="I143" i="14"/>
  <c r="J143" i="14" s="1"/>
  <c r="I144" i="14"/>
  <c r="J144" i="14" s="1"/>
  <c r="I145" i="14"/>
  <c r="J145" i="14" s="1"/>
  <c r="I146" i="14"/>
  <c r="J146" i="14" s="1"/>
  <c r="I147" i="14"/>
  <c r="J147" i="14" s="1"/>
  <c r="I148" i="14"/>
  <c r="J148" i="14" s="1"/>
  <c r="I149" i="14"/>
  <c r="J149" i="14" s="1"/>
  <c r="I150" i="14"/>
  <c r="J150" i="14" s="1"/>
  <c r="I151" i="14"/>
  <c r="J151" i="14" s="1"/>
  <c r="I152" i="14"/>
  <c r="J152" i="14" s="1"/>
  <c r="I153" i="14"/>
  <c r="J153" i="14" s="1"/>
  <c r="I154" i="14"/>
  <c r="J154" i="14" s="1"/>
  <c r="I155" i="14"/>
  <c r="J155" i="14" s="1"/>
  <c r="I156" i="14"/>
  <c r="J156" i="14" s="1"/>
  <c r="I157" i="14"/>
  <c r="J157" i="14" s="1"/>
  <c r="I158" i="14"/>
  <c r="J158" i="14" s="1"/>
  <c r="I159" i="14"/>
  <c r="J159" i="14" s="1"/>
  <c r="I160" i="14"/>
  <c r="J160" i="14" s="1"/>
  <c r="I161" i="14"/>
  <c r="J161" i="14" s="1"/>
  <c r="I162" i="14"/>
  <c r="J162" i="14" s="1"/>
  <c r="I163" i="14"/>
  <c r="J163" i="14" s="1"/>
  <c r="I164" i="14"/>
  <c r="J164" i="14" s="1"/>
  <c r="I165" i="14"/>
  <c r="J165" i="14" s="1"/>
  <c r="I166" i="14"/>
  <c r="J166" i="14" s="1"/>
  <c r="I167" i="14"/>
  <c r="J167" i="14" s="1"/>
  <c r="I168" i="14"/>
  <c r="J168" i="14" s="1"/>
  <c r="I169" i="14"/>
  <c r="J169" i="14" s="1"/>
  <c r="I170" i="14"/>
  <c r="J170" i="14" s="1"/>
  <c r="I171" i="14"/>
  <c r="J171" i="14" s="1"/>
  <c r="I172" i="14"/>
  <c r="J172" i="14" s="1"/>
  <c r="I173" i="14"/>
  <c r="J173" i="14" s="1"/>
  <c r="I174" i="14"/>
  <c r="J174" i="14" s="1"/>
  <c r="I175" i="14"/>
  <c r="J175" i="14" s="1"/>
  <c r="I176" i="14"/>
  <c r="J176" i="14" s="1"/>
  <c r="I177" i="14"/>
  <c r="J177" i="14" s="1"/>
  <c r="I178" i="14"/>
  <c r="J178" i="14" s="1"/>
  <c r="I179" i="14"/>
  <c r="J179" i="14" s="1"/>
  <c r="I180" i="14"/>
  <c r="J180" i="14" s="1"/>
  <c r="I181" i="14"/>
  <c r="J181" i="14" s="1"/>
  <c r="I182" i="14"/>
  <c r="J182" i="14" s="1"/>
  <c r="I183" i="14"/>
  <c r="J183" i="14" s="1"/>
  <c r="I184" i="14"/>
  <c r="J184" i="14" s="1"/>
  <c r="I185" i="14"/>
  <c r="J185" i="14" s="1"/>
  <c r="I186" i="14"/>
  <c r="J186" i="14" s="1"/>
  <c r="I187" i="14"/>
  <c r="J187" i="14" s="1"/>
  <c r="G9" i="12" l="1"/>
  <c r="H9" i="12"/>
  <c r="I9" i="12"/>
  <c r="J9" i="12"/>
  <c r="K9" i="12"/>
  <c r="L9" i="12"/>
  <c r="M9" i="12"/>
  <c r="N9" i="12"/>
  <c r="O9" i="12"/>
  <c r="P9" i="12"/>
  <c r="Q9" i="12"/>
  <c r="R9" i="12"/>
  <c r="S9" i="12"/>
  <c r="T9" i="12"/>
  <c r="U9" i="12"/>
  <c r="V9" i="12"/>
  <c r="W9" i="12"/>
  <c r="X9" i="12"/>
  <c r="Y9" i="12"/>
  <c r="Z9" i="12"/>
  <c r="AA9" i="12"/>
  <c r="AB9" i="12"/>
  <c r="D12" i="12"/>
  <c r="E12" i="12"/>
  <c r="F12" i="12"/>
  <c r="G12" i="12"/>
  <c r="H12" i="12"/>
  <c r="I12" i="12"/>
  <c r="J12" i="12"/>
  <c r="K12" i="12"/>
  <c r="L12" i="12"/>
  <c r="M12" i="12"/>
  <c r="N12" i="12"/>
  <c r="O12" i="12"/>
  <c r="P12" i="12"/>
  <c r="Q12" i="12"/>
  <c r="R12" i="12"/>
  <c r="T12" i="12"/>
  <c r="V12" i="12"/>
  <c r="X12" i="12"/>
  <c r="Z12" i="12"/>
  <c r="AA12" i="12"/>
  <c r="H15" i="12"/>
  <c r="I15" i="12"/>
  <c r="J15" i="12"/>
  <c r="L15" i="12"/>
  <c r="M15" i="12"/>
  <c r="N15" i="12"/>
  <c r="O15" i="12"/>
  <c r="P15" i="12"/>
  <c r="Q15" i="12"/>
  <c r="R15" i="12"/>
  <c r="S15" i="12"/>
  <c r="T15" i="12"/>
  <c r="U15" i="12"/>
  <c r="V15" i="12"/>
  <c r="W15" i="12"/>
  <c r="X15" i="12"/>
  <c r="Y15" i="12"/>
  <c r="Z15" i="12"/>
  <c r="AA15" i="12"/>
  <c r="C7" i="10"/>
  <c r="D7" i="10"/>
  <c r="E7" i="10"/>
  <c r="F7" i="10"/>
  <c r="G7" i="10"/>
  <c r="H7" i="10"/>
  <c r="I7" i="10"/>
  <c r="J7" i="10"/>
  <c r="K7" i="10"/>
  <c r="L7" i="10"/>
  <c r="M7" i="10" s="1"/>
  <c r="C8" i="10"/>
  <c r="D8" i="10"/>
  <c r="E8" i="10"/>
  <c r="F8" i="10"/>
  <c r="G8" i="10"/>
  <c r="H8" i="10"/>
  <c r="I8" i="10"/>
  <c r="J8" i="10"/>
  <c r="K8" i="10"/>
  <c r="L8" i="10"/>
  <c r="M8" i="10" s="1"/>
  <c r="F8" i="9"/>
  <c r="J8" i="9"/>
  <c r="F9" i="9"/>
  <c r="J9" i="9"/>
  <c r="F10" i="9"/>
  <c r="J10" i="9"/>
  <c r="F11" i="9"/>
  <c r="J11" i="9"/>
  <c r="F12" i="9"/>
  <c r="J12" i="9"/>
  <c r="F13" i="9"/>
  <c r="J13" i="9"/>
  <c r="F14" i="9"/>
  <c r="J14" i="9"/>
  <c r="F15" i="9"/>
  <c r="J15" i="9"/>
  <c r="F16" i="9"/>
  <c r="J16" i="9"/>
  <c r="F17" i="9"/>
  <c r="J17" i="9"/>
  <c r="F18" i="9"/>
  <c r="J18" i="9"/>
  <c r="F19" i="9"/>
  <c r="J19" i="9"/>
  <c r="F20" i="9"/>
  <c r="J20" i="9"/>
  <c r="F21" i="9"/>
  <c r="J21" i="9"/>
  <c r="F22" i="9"/>
  <c r="J22" i="9"/>
  <c r="F23" i="9"/>
  <c r="J23" i="9"/>
  <c r="F24" i="9"/>
  <c r="J24" i="9"/>
  <c r="F25" i="9"/>
  <c r="J25" i="9"/>
  <c r="F26" i="9"/>
  <c r="J26" i="9"/>
  <c r="F27" i="9"/>
  <c r="J27" i="9"/>
  <c r="F28" i="9"/>
  <c r="J28" i="9"/>
  <c r="F29" i="9"/>
  <c r="J29" i="9"/>
  <c r="F30" i="9"/>
  <c r="J30" i="9"/>
  <c r="F31" i="9"/>
  <c r="J31" i="9"/>
  <c r="D10" i="7"/>
  <c r="D13" i="7" s="1"/>
  <c r="E10" i="7"/>
  <c r="F10" i="7"/>
  <c r="H10" i="7"/>
  <c r="I10" i="7"/>
  <c r="J10" i="7"/>
  <c r="K10" i="7"/>
  <c r="L10" i="7"/>
  <c r="M10" i="7"/>
  <c r="N10" i="7"/>
  <c r="P10" i="7"/>
  <c r="Q10" i="7"/>
  <c r="U10" i="7"/>
  <c r="V10" i="7"/>
  <c r="V18" i="7" s="1"/>
  <c r="D11" i="7"/>
  <c r="E11" i="7"/>
  <c r="F11" i="7"/>
  <c r="F13" i="7" s="1"/>
  <c r="H11" i="7"/>
  <c r="I11" i="7"/>
  <c r="J11" i="7"/>
  <c r="K11" i="7"/>
  <c r="L11" i="7"/>
  <c r="M11" i="7"/>
  <c r="N11" i="7"/>
  <c r="P11" i="7"/>
  <c r="Q11" i="7"/>
  <c r="U11" i="7"/>
  <c r="V11" i="7"/>
  <c r="D12" i="7"/>
  <c r="E12" i="7"/>
  <c r="F12" i="7"/>
  <c r="G12" i="7"/>
  <c r="G13" i="7" s="1"/>
  <c r="H12" i="7"/>
  <c r="I12" i="7"/>
  <c r="J12" i="7"/>
  <c r="K12" i="7"/>
  <c r="L12" i="7"/>
  <c r="M12" i="7"/>
  <c r="Q12" i="7"/>
  <c r="V12" i="7"/>
  <c r="D14" i="7"/>
  <c r="E14" i="7"/>
  <c r="F14" i="7"/>
  <c r="G14" i="7"/>
  <c r="G18" i="7" s="1"/>
  <c r="H14" i="7"/>
  <c r="I14" i="7"/>
  <c r="J14" i="7"/>
  <c r="J18" i="7" s="1"/>
  <c r="K14" i="7"/>
  <c r="K18" i="7" s="1"/>
  <c r="L14" i="7"/>
  <c r="M14" i="7"/>
  <c r="N14" i="7"/>
  <c r="P14" i="7"/>
  <c r="P18" i="7" s="1"/>
  <c r="Q14" i="7"/>
  <c r="U14" i="7"/>
  <c r="V14" i="7"/>
  <c r="D15" i="7"/>
  <c r="E15" i="7"/>
  <c r="F15" i="7"/>
  <c r="G15" i="7"/>
  <c r="G19" i="7" s="1"/>
  <c r="H15" i="7"/>
  <c r="H19" i="7" s="1"/>
  <c r="I15" i="7"/>
  <c r="I19" i="7" s="1"/>
  <c r="J15" i="7"/>
  <c r="J19" i="7" s="1"/>
  <c r="K15" i="7"/>
  <c r="L15" i="7"/>
  <c r="L19" i="7" s="1"/>
  <c r="M15" i="7"/>
  <c r="N15" i="7"/>
  <c r="P15" i="7"/>
  <c r="Q15" i="7"/>
  <c r="U15" i="7"/>
  <c r="U19" i="7" s="1"/>
  <c r="V15" i="7"/>
  <c r="D16" i="7"/>
  <c r="E16" i="7"/>
  <c r="E20" i="7" s="1"/>
  <c r="F16" i="7"/>
  <c r="F20" i="7" s="1"/>
  <c r="G16" i="7"/>
  <c r="H16" i="7"/>
  <c r="I16" i="7"/>
  <c r="J16" i="7"/>
  <c r="K16" i="7"/>
  <c r="L16" i="7"/>
  <c r="M16" i="7"/>
  <c r="Q16" i="7"/>
  <c r="U16" i="7"/>
  <c r="U20" i="7" s="1"/>
  <c r="V16" i="7"/>
  <c r="V20" i="7" s="1"/>
  <c r="D17" i="7"/>
  <c r="F18" i="7"/>
  <c r="N18" i="7"/>
  <c r="O18" i="7"/>
  <c r="R18" i="7"/>
  <c r="S18" i="7"/>
  <c r="T18" i="7"/>
  <c r="X18" i="7"/>
  <c r="Y18" i="7"/>
  <c r="E19" i="7"/>
  <c r="M19" i="7"/>
  <c r="O19" i="7"/>
  <c r="R19" i="7"/>
  <c r="S19" i="7"/>
  <c r="T19" i="7"/>
  <c r="X19" i="7"/>
  <c r="Y19" i="7"/>
  <c r="J20" i="7"/>
  <c r="Q20" i="7"/>
  <c r="R20" i="7"/>
  <c r="S20" i="7"/>
  <c r="T20" i="7"/>
  <c r="X20" i="7"/>
  <c r="Y20" i="7"/>
  <c r="R21" i="7"/>
  <c r="S21" i="7"/>
  <c r="T21" i="7"/>
  <c r="W21" i="7"/>
  <c r="X21" i="7"/>
  <c r="Y21" i="7"/>
  <c r="C8" i="6"/>
  <c r="D8" i="6"/>
  <c r="E8" i="6"/>
  <c r="F8" i="6"/>
  <c r="G8" i="6"/>
  <c r="H8" i="6"/>
  <c r="I8" i="6"/>
  <c r="J8" i="6"/>
  <c r="K8" i="6"/>
  <c r="L8" i="6"/>
  <c r="M8" i="6"/>
  <c r="C9" i="6"/>
  <c r="D9" i="6"/>
  <c r="E9" i="6"/>
  <c r="F9" i="6"/>
  <c r="G9" i="6"/>
  <c r="H9" i="6"/>
  <c r="I9" i="6"/>
  <c r="J9" i="6"/>
  <c r="K9" i="6"/>
  <c r="L9" i="6"/>
  <c r="M9" i="6"/>
  <c r="C10" i="6"/>
  <c r="D10" i="6"/>
  <c r="E10" i="6"/>
  <c r="F10" i="6"/>
  <c r="G10" i="6"/>
  <c r="H10" i="6"/>
  <c r="I10" i="6"/>
  <c r="J10" i="6"/>
  <c r="K10" i="6"/>
  <c r="L10" i="6"/>
  <c r="M10" i="6"/>
  <c r="C11" i="6"/>
  <c r="D11" i="6"/>
  <c r="E11" i="6"/>
  <c r="F11" i="6"/>
  <c r="G11" i="6"/>
  <c r="H11" i="6"/>
  <c r="J11" i="6"/>
  <c r="K11" i="6"/>
  <c r="L11" i="6"/>
  <c r="M11" i="6"/>
  <c r="D13" i="6"/>
  <c r="E13" i="6"/>
  <c r="F13" i="6"/>
  <c r="G13" i="6"/>
  <c r="H13" i="6"/>
  <c r="I13" i="6"/>
  <c r="J13" i="6"/>
  <c r="K13" i="6"/>
  <c r="L13" i="6"/>
  <c r="M13" i="6" s="1"/>
  <c r="C14" i="6"/>
  <c r="D14" i="6"/>
  <c r="E14" i="6"/>
  <c r="F14" i="6"/>
  <c r="G14" i="6"/>
  <c r="H14" i="6"/>
  <c r="I14" i="6"/>
  <c r="J14" i="6"/>
  <c r="K14" i="6"/>
  <c r="L14" i="6"/>
  <c r="M14" i="6" s="1"/>
  <c r="D16" i="6"/>
  <c r="E16" i="6"/>
  <c r="F16" i="6"/>
  <c r="G16" i="6"/>
  <c r="H16" i="6"/>
  <c r="I16" i="6"/>
  <c r="J16" i="6"/>
  <c r="K16" i="6"/>
  <c r="L16" i="6"/>
  <c r="M16" i="6"/>
  <c r="C17" i="6"/>
  <c r="D17" i="6"/>
  <c r="E17" i="6"/>
  <c r="F17" i="6"/>
  <c r="G17" i="6"/>
  <c r="H17" i="6"/>
  <c r="I17" i="6"/>
  <c r="J17" i="6"/>
  <c r="K17" i="6"/>
  <c r="L17" i="6"/>
  <c r="M17" i="6"/>
  <c r="C18" i="6"/>
  <c r="D18" i="6"/>
  <c r="E18" i="6"/>
  <c r="F18" i="6"/>
  <c r="G18" i="6"/>
  <c r="H18" i="6"/>
  <c r="I18" i="6"/>
  <c r="J18" i="6"/>
  <c r="K18" i="6"/>
  <c r="L18" i="6"/>
  <c r="M18" i="6"/>
  <c r="D19" i="6"/>
  <c r="E19" i="6"/>
  <c r="F19" i="6"/>
  <c r="G19" i="6"/>
  <c r="H19" i="6"/>
  <c r="J19" i="6"/>
  <c r="K19" i="6"/>
  <c r="L19" i="6"/>
  <c r="M19" i="6"/>
  <c r="D20" i="6"/>
  <c r="E20" i="6"/>
  <c r="F20" i="6"/>
  <c r="G20" i="6"/>
  <c r="H20" i="6"/>
  <c r="J20" i="6"/>
  <c r="K20" i="6"/>
  <c r="L20" i="6"/>
  <c r="M20" i="6"/>
  <c r="C11" i="3"/>
  <c r="Y34" i="3" s="1"/>
  <c r="D11" i="3"/>
  <c r="E11" i="3"/>
  <c r="F11" i="3"/>
  <c r="G11" i="3"/>
  <c r="H11" i="3"/>
  <c r="I11" i="3"/>
  <c r="J11" i="3"/>
  <c r="K11" i="3"/>
  <c r="K34" i="3" s="1"/>
  <c r="L11" i="3"/>
  <c r="L34" i="3" s="1"/>
  <c r="M11" i="3"/>
  <c r="N11" i="3"/>
  <c r="O11" i="3"/>
  <c r="O34" i="3" s="1"/>
  <c r="P11" i="3"/>
  <c r="Q11" i="3"/>
  <c r="R11" i="3"/>
  <c r="S11" i="3"/>
  <c r="T11" i="3"/>
  <c r="U11" i="3"/>
  <c r="V11" i="3"/>
  <c r="W11" i="3"/>
  <c r="X11" i="3"/>
  <c r="X34" i="3" s="1"/>
  <c r="C12" i="3"/>
  <c r="D12" i="3"/>
  <c r="D13" i="3" s="1"/>
  <c r="E12" i="3"/>
  <c r="E13" i="3" s="1"/>
  <c r="F12" i="3"/>
  <c r="F13" i="3" s="1"/>
  <c r="G12" i="3"/>
  <c r="G13" i="3" s="1"/>
  <c r="H12" i="3"/>
  <c r="I12" i="3"/>
  <c r="J12" i="3"/>
  <c r="K12" i="3"/>
  <c r="L12" i="3"/>
  <c r="M12" i="3"/>
  <c r="M13" i="3" s="1"/>
  <c r="N12" i="3"/>
  <c r="N13" i="3" s="1"/>
  <c r="O12" i="3"/>
  <c r="P12" i="3"/>
  <c r="P13" i="3" s="1"/>
  <c r="Q12" i="3"/>
  <c r="Q13" i="3" s="1"/>
  <c r="R12" i="3"/>
  <c r="R13" i="3" s="1"/>
  <c r="S12" i="3"/>
  <c r="S13" i="3" s="1"/>
  <c r="T12" i="3"/>
  <c r="U12" i="3"/>
  <c r="V12" i="3"/>
  <c r="W12" i="3"/>
  <c r="X12" i="3"/>
  <c r="C31" i="3"/>
  <c r="D31" i="3"/>
  <c r="E31" i="3"/>
  <c r="F31" i="3"/>
  <c r="G31" i="3"/>
  <c r="H31" i="3"/>
  <c r="I31" i="3"/>
  <c r="J31" i="3"/>
  <c r="K31" i="3"/>
  <c r="L31" i="3"/>
  <c r="M31" i="3"/>
  <c r="N31" i="3"/>
  <c r="O31" i="3"/>
  <c r="P31" i="3"/>
  <c r="Q31" i="3"/>
  <c r="R31" i="3"/>
  <c r="S31" i="3"/>
  <c r="T31" i="3"/>
  <c r="U31" i="3"/>
  <c r="V31" i="3"/>
  <c r="W31" i="3"/>
  <c r="X31" i="3"/>
  <c r="C32" i="3"/>
  <c r="D32" i="3"/>
  <c r="E32" i="3"/>
  <c r="F32" i="3"/>
  <c r="G32" i="3"/>
  <c r="H32" i="3"/>
  <c r="I32" i="3"/>
  <c r="J32" i="3"/>
  <c r="K32" i="3"/>
  <c r="L32" i="3"/>
  <c r="M32" i="3"/>
  <c r="N32" i="3"/>
  <c r="O32" i="3"/>
  <c r="P32" i="3"/>
  <c r="Q32" i="3"/>
  <c r="R32" i="3"/>
  <c r="S32" i="3"/>
  <c r="T32" i="3"/>
  <c r="U32" i="3"/>
  <c r="V32" i="3"/>
  <c r="W32" i="3"/>
  <c r="X32" i="3"/>
  <c r="C34" i="3"/>
  <c r="W34" i="3"/>
  <c r="C35" i="3"/>
  <c r="C37" i="3"/>
  <c r="D37" i="3"/>
  <c r="E37" i="3"/>
  <c r="F37" i="3"/>
  <c r="G37" i="3"/>
  <c r="H37" i="3"/>
  <c r="I37" i="3"/>
  <c r="J37" i="3"/>
  <c r="K37" i="3"/>
  <c r="L37" i="3"/>
  <c r="M37" i="3"/>
  <c r="N37" i="3"/>
  <c r="O37" i="3"/>
  <c r="P37" i="3"/>
  <c r="Q37" i="3"/>
  <c r="R37" i="3"/>
  <c r="S37" i="3"/>
  <c r="T37" i="3"/>
  <c r="U37" i="3"/>
  <c r="V37" i="3"/>
  <c r="W37" i="3"/>
  <c r="X37" i="3"/>
  <c r="C38" i="3"/>
  <c r="D38" i="3"/>
  <c r="E38" i="3"/>
  <c r="F38" i="3"/>
  <c r="G38" i="3"/>
  <c r="H38" i="3"/>
  <c r="I38" i="3"/>
  <c r="J38" i="3"/>
  <c r="K38" i="3"/>
  <c r="L38" i="3"/>
  <c r="M38" i="3"/>
  <c r="N38" i="3"/>
  <c r="O38" i="3"/>
  <c r="P38" i="3"/>
  <c r="Q38" i="3"/>
  <c r="R38" i="3"/>
  <c r="S38" i="3"/>
  <c r="T38" i="3"/>
  <c r="U38" i="3"/>
  <c r="V38" i="3"/>
  <c r="W38" i="3"/>
  <c r="X38" i="3"/>
  <c r="C40" i="3"/>
  <c r="D40" i="3"/>
  <c r="E40" i="3"/>
  <c r="F40" i="3"/>
  <c r="G40" i="3"/>
  <c r="H40" i="3"/>
  <c r="I40" i="3"/>
  <c r="J40" i="3"/>
  <c r="K40" i="3"/>
  <c r="L40" i="3"/>
  <c r="M40" i="3"/>
  <c r="N40" i="3"/>
  <c r="O40" i="3"/>
  <c r="P40" i="3"/>
  <c r="Q40" i="3"/>
  <c r="R40" i="3"/>
  <c r="S40" i="3"/>
  <c r="T40" i="3"/>
  <c r="U40" i="3"/>
  <c r="V40" i="3"/>
  <c r="W40" i="3"/>
  <c r="X40" i="3"/>
  <c r="C41" i="3"/>
  <c r="D41" i="3"/>
  <c r="E41" i="3"/>
  <c r="F41" i="3"/>
  <c r="G41" i="3"/>
  <c r="H41" i="3"/>
  <c r="I41" i="3"/>
  <c r="J41" i="3"/>
  <c r="K41" i="3"/>
  <c r="L41" i="3"/>
  <c r="M41" i="3"/>
  <c r="N41" i="3"/>
  <c r="O41" i="3"/>
  <c r="P41" i="3"/>
  <c r="Q41" i="3"/>
  <c r="R41" i="3"/>
  <c r="S41" i="3"/>
  <c r="T41" i="3"/>
  <c r="U41" i="3"/>
  <c r="V41" i="3"/>
  <c r="W41" i="3"/>
  <c r="X41" i="3"/>
  <c r="C43" i="3"/>
  <c r="D43" i="3"/>
  <c r="E43" i="3"/>
  <c r="F43" i="3"/>
  <c r="G43" i="3"/>
  <c r="H43" i="3"/>
  <c r="I43" i="3"/>
  <c r="J43" i="3"/>
  <c r="K43" i="3"/>
  <c r="L43" i="3"/>
  <c r="M43" i="3"/>
  <c r="N43" i="3"/>
  <c r="O43" i="3"/>
  <c r="P43" i="3"/>
  <c r="Q43" i="3"/>
  <c r="R43" i="3"/>
  <c r="S43" i="3"/>
  <c r="T43" i="3"/>
  <c r="U43" i="3"/>
  <c r="V43" i="3"/>
  <c r="W43" i="3"/>
  <c r="X43" i="3"/>
  <c r="C44" i="3"/>
  <c r="D44" i="3"/>
  <c r="E44" i="3"/>
  <c r="F44" i="3"/>
  <c r="G44" i="3"/>
  <c r="H44" i="3"/>
  <c r="I44" i="3"/>
  <c r="J44" i="3"/>
  <c r="K44" i="3"/>
  <c r="L44" i="3"/>
  <c r="M44" i="3"/>
  <c r="N44" i="3"/>
  <c r="O44" i="3"/>
  <c r="P44" i="3"/>
  <c r="Q44" i="3"/>
  <c r="R44" i="3"/>
  <c r="S44" i="3"/>
  <c r="T44" i="3"/>
  <c r="U44" i="3"/>
  <c r="V44" i="3"/>
  <c r="W44" i="3"/>
  <c r="X44" i="3"/>
  <c r="C46" i="3"/>
  <c r="D46" i="3"/>
  <c r="E46" i="3"/>
  <c r="F46" i="3"/>
  <c r="G46" i="3"/>
  <c r="H46" i="3"/>
  <c r="I46" i="3"/>
  <c r="J46" i="3"/>
  <c r="K46" i="3"/>
  <c r="L46" i="3"/>
  <c r="M46" i="3"/>
  <c r="N46" i="3"/>
  <c r="O46" i="3"/>
  <c r="P46" i="3"/>
  <c r="Q46" i="3"/>
  <c r="R46" i="3"/>
  <c r="S46" i="3"/>
  <c r="T46" i="3"/>
  <c r="U46" i="3"/>
  <c r="V46" i="3"/>
  <c r="W46" i="3"/>
  <c r="X46" i="3"/>
  <c r="C47" i="3"/>
  <c r="D47" i="3"/>
  <c r="E47" i="3"/>
  <c r="F47" i="3"/>
  <c r="G47" i="3"/>
  <c r="H47" i="3"/>
  <c r="I47" i="3"/>
  <c r="J47" i="3"/>
  <c r="K47" i="3"/>
  <c r="L47" i="3"/>
  <c r="M47" i="3"/>
  <c r="N47" i="3"/>
  <c r="O47" i="3"/>
  <c r="P47" i="3"/>
  <c r="Q47" i="3"/>
  <c r="R47" i="3"/>
  <c r="S47" i="3"/>
  <c r="T47" i="3"/>
  <c r="U47" i="3"/>
  <c r="V47" i="3"/>
  <c r="W47" i="3"/>
  <c r="X47" i="3"/>
  <c r="C10" i="1"/>
  <c r="D10" i="1"/>
  <c r="E10" i="1"/>
  <c r="F10" i="1"/>
  <c r="G10" i="1"/>
  <c r="H10" i="1"/>
  <c r="I10" i="1"/>
  <c r="J10" i="1"/>
  <c r="K10" i="1"/>
  <c r="L10" i="1"/>
  <c r="M10" i="1"/>
  <c r="N10" i="1"/>
  <c r="O10" i="1"/>
  <c r="P10" i="1"/>
  <c r="Q10" i="1"/>
  <c r="R10" i="1"/>
  <c r="S10" i="1"/>
  <c r="T10" i="1"/>
  <c r="U10" i="1"/>
  <c r="V10" i="1"/>
  <c r="W10" i="1"/>
  <c r="X10" i="1"/>
  <c r="Y10" i="1"/>
  <c r="Z10" i="1"/>
  <c r="AA10" i="1"/>
  <c r="AB10" i="1"/>
  <c r="AC10" i="1"/>
  <c r="AD10" i="1"/>
  <c r="AE10" i="1"/>
  <c r="AF10" i="1"/>
  <c r="AG10" i="1"/>
  <c r="AH10" i="1"/>
  <c r="AI10" i="1"/>
  <c r="AJ10" i="1"/>
  <c r="AK10" i="1"/>
  <c r="AL10" i="1"/>
  <c r="AM10" i="1"/>
  <c r="AN10" i="1"/>
  <c r="C11" i="1"/>
  <c r="D11" i="1"/>
  <c r="E11" i="1"/>
  <c r="F11" i="1"/>
  <c r="G11" i="1"/>
  <c r="H11" i="1"/>
  <c r="I11" i="1"/>
  <c r="J11" i="1"/>
  <c r="K11" i="1"/>
  <c r="L11" i="1"/>
  <c r="M11" i="1"/>
  <c r="N11" i="1"/>
  <c r="O11" i="1"/>
  <c r="P11" i="1"/>
  <c r="Q11" i="1"/>
  <c r="R11" i="1"/>
  <c r="S11" i="1"/>
  <c r="T11" i="1"/>
  <c r="U11" i="1"/>
  <c r="V11" i="1"/>
  <c r="W11" i="1"/>
  <c r="X11" i="1"/>
  <c r="Y11" i="1"/>
  <c r="Z11" i="1"/>
  <c r="AA11" i="1"/>
  <c r="AB11" i="1"/>
  <c r="AC11" i="1"/>
  <c r="AD11" i="1"/>
  <c r="AE11" i="1"/>
  <c r="AF11" i="1"/>
  <c r="AG11" i="1"/>
  <c r="AH11" i="1"/>
  <c r="AI11" i="1"/>
  <c r="AJ11" i="1"/>
  <c r="AK11" i="1"/>
  <c r="AL11" i="1"/>
  <c r="AM11" i="1"/>
  <c r="AN11" i="1"/>
  <c r="O13" i="3" l="1"/>
  <c r="F35" i="3"/>
  <c r="C13" i="3"/>
  <c r="Y35" i="3"/>
  <c r="W13" i="3"/>
  <c r="K35" i="3"/>
  <c r="K13" i="3"/>
  <c r="U34" i="3"/>
  <c r="V19" i="7"/>
  <c r="S34" i="3"/>
  <c r="X13" i="3"/>
  <c r="L13" i="3"/>
  <c r="J13" i="3"/>
  <c r="T34" i="3"/>
  <c r="V13" i="3"/>
  <c r="H34" i="3"/>
  <c r="U13" i="3"/>
  <c r="I13" i="3"/>
  <c r="M20" i="7"/>
  <c r="Q19" i="7"/>
  <c r="D19" i="7"/>
  <c r="G34" i="3"/>
  <c r="T13" i="3"/>
  <c r="H13" i="3"/>
  <c r="Q34" i="3"/>
  <c r="E34" i="3"/>
  <c r="N19" i="7"/>
  <c r="E18" i="7"/>
  <c r="P34" i="3"/>
  <c r="D34" i="3"/>
  <c r="V13" i="7"/>
  <c r="F19" i="7"/>
  <c r="U17" i="7"/>
  <c r="V17" i="7"/>
  <c r="V21" i="7"/>
  <c r="D21" i="7"/>
  <c r="M17" i="7"/>
  <c r="I17" i="7"/>
  <c r="E17" i="7"/>
  <c r="P19" i="7"/>
  <c r="K19" i="7"/>
  <c r="K17" i="7"/>
  <c r="G17" i="7"/>
  <c r="G21" i="7" s="1"/>
  <c r="L20" i="7"/>
  <c r="H20" i="7"/>
  <c r="D20" i="7"/>
  <c r="K13" i="7"/>
  <c r="U18" i="7"/>
  <c r="M13" i="7"/>
  <c r="I13" i="7"/>
  <c r="I21" i="7" s="1"/>
  <c r="D18" i="7"/>
  <c r="J17" i="7"/>
  <c r="F17" i="7"/>
  <c r="F21" i="7" s="1"/>
  <c r="L13" i="7"/>
  <c r="K20" i="7"/>
  <c r="G20" i="7"/>
  <c r="E13" i="7"/>
  <c r="Q13" i="7"/>
  <c r="L18" i="7"/>
  <c r="H18" i="7"/>
  <c r="I20" i="7"/>
  <c r="L17" i="7"/>
  <c r="L21" i="7" s="1"/>
  <c r="H13" i="7"/>
  <c r="H17" i="7"/>
  <c r="Q17" i="7"/>
  <c r="J13" i="7"/>
  <c r="V34" i="3"/>
  <c r="R34" i="3"/>
  <c r="N34" i="3"/>
  <c r="J34" i="3"/>
  <c r="F34" i="3"/>
  <c r="O35" i="3"/>
  <c r="J35" i="3"/>
  <c r="E35" i="3"/>
  <c r="U35" i="3"/>
  <c r="S35" i="3"/>
  <c r="I35" i="3"/>
  <c r="I34" i="3"/>
  <c r="W35" i="3"/>
  <c r="R35" i="3"/>
  <c r="M35" i="3"/>
  <c r="G35" i="3"/>
  <c r="M34" i="3"/>
  <c r="N35" i="3"/>
  <c r="V35" i="3"/>
  <c r="Q35" i="3"/>
  <c r="U13" i="7"/>
  <c r="U21" i="7" s="1"/>
  <c r="Q18" i="7"/>
  <c r="M18" i="7"/>
  <c r="I18" i="7"/>
  <c r="X35" i="3"/>
  <c r="T35" i="3"/>
  <c r="P35" i="3"/>
  <c r="L35" i="3"/>
  <c r="H35" i="3"/>
  <c r="D35" i="3"/>
  <c r="M21" i="7" l="1"/>
  <c r="Q21" i="7"/>
  <c r="E21" i="7"/>
  <c r="K21" i="7"/>
  <c r="H21" i="7"/>
  <c r="J21" i="7"/>
</calcChain>
</file>

<file path=xl/sharedStrings.xml><?xml version="1.0" encoding="utf-8"?>
<sst xmlns="http://schemas.openxmlformats.org/spreadsheetml/2006/main" count="1297" uniqueCount="611">
  <si>
    <t>Taux de sélectivité (ech. Droite)</t>
  </si>
  <si>
    <t>Candidats présents</t>
  </si>
  <si>
    <t>Poste offerts</t>
  </si>
  <si>
    <t>Ensemble</t>
  </si>
  <si>
    <t>Ratio Nombre de candidats présents/Postes offerts</t>
  </si>
  <si>
    <t>Nombre de candidats présents</t>
  </si>
  <si>
    <t xml:space="preserve">Notes </t>
  </si>
  <si>
    <t xml:space="preserve">Concours externes, hors troisième concours et concours uniques </t>
  </si>
  <si>
    <t>Champ</t>
  </si>
  <si>
    <t xml:space="preserve">Source </t>
  </si>
  <si>
    <t xml:space="preserve">Titre </t>
  </si>
  <si>
    <t>Nombre de candidats aux concours externes du premier degré public</t>
  </si>
  <si>
    <t>Evolution du nombre de candidats aux concours externes du premier degré public et diplôme exigé</t>
  </si>
  <si>
    <t>Catégories C</t>
  </si>
  <si>
    <t>Catégories B</t>
  </si>
  <si>
    <t>Catégories A - Enseignants (1)</t>
  </si>
  <si>
    <t>Catégories A (hors enseignants)</t>
  </si>
  <si>
    <t xml:space="preserve">Catégories A </t>
  </si>
  <si>
    <t>Candidats présents (échelle de droite)</t>
  </si>
  <si>
    <t>Catégories A</t>
  </si>
  <si>
    <t>Mission, à partir des données fournies par les gestionnaires de corps.</t>
  </si>
  <si>
    <t>Nombre de candidats inscrits aux concours des principaux corps de catégorie A
à forte composante numérique (base 1 en 2018)</t>
  </si>
  <si>
    <t>Titre 2</t>
  </si>
  <si>
    <t>Part des recrutements sans concours</t>
  </si>
  <si>
    <t>Ensemble recrutés</t>
  </si>
  <si>
    <t>Sans concours</t>
  </si>
  <si>
    <t xml:space="preserve">Concours unique et troisième concours </t>
  </si>
  <si>
    <t>Concours externe</t>
  </si>
  <si>
    <t>Sur concours</t>
  </si>
  <si>
    <t xml:space="preserve">Admis </t>
  </si>
  <si>
    <t>Présents aux concours</t>
  </si>
  <si>
    <t>Présents</t>
  </si>
  <si>
    <t>postes offerts sur concours</t>
  </si>
  <si>
    <t xml:space="preserve">Postes offerts </t>
  </si>
  <si>
    <t>Recrutements externes (ensemble de la Fonction publique territoriale)</t>
  </si>
  <si>
    <t>Année</t>
  </si>
  <si>
    <t xml:space="preserve">Concours externes, hors concours unique et troisième concours.  </t>
  </si>
  <si>
    <t xml:space="preserve">Evolution comparée des postes offerts et des candidats présents aux concours de la FPT  (en base 100 - 2011) </t>
  </si>
  <si>
    <t>Total</t>
  </si>
  <si>
    <t>C</t>
  </si>
  <si>
    <t>B</t>
  </si>
  <si>
    <t>A</t>
  </si>
  <si>
    <t xml:space="preserve">Taux de présence </t>
  </si>
  <si>
    <t>Inscrits</t>
  </si>
  <si>
    <t>Taux de sélectivité</t>
  </si>
  <si>
    <t xml:space="preserve">Evolution des taux de sélectivité dans la FPE (hors enseignement) par catégorie hiérarchique </t>
  </si>
  <si>
    <t xml:space="preserve">Taux de sélectivité </t>
  </si>
  <si>
    <t xml:space="preserve">     Admis</t>
  </si>
  <si>
    <t xml:space="preserve">     Présents</t>
  </si>
  <si>
    <t>Postes offerts</t>
  </si>
  <si>
    <t>Second degré</t>
  </si>
  <si>
    <t xml:space="preserve">Premier degré, concours de professeurs des écoles </t>
  </si>
  <si>
    <t xml:space="preserve">Tous concours externes du secteur public, y compris troisième concours et concours externe spécial </t>
  </si>
  <si>
    <t>Séries chronologiques DEPP, les concours de recrutement de professeurs des écoles ; les concours de recrutement des professeurs du second degré</t>
  </si>
  <si>
    <t xml:space="preserve">Concours externes </t>
  </si>
  <si>
    <t>Concours externes y.c troisième concours et concours unique</t>
  </si>
  <si>
    <t xml:space="preserve">Ville de Paris (1)
</t>
  </si>
  <si>
    <t>FPT hors Ville de Paris</t>
  </si>
  <si>
    <t xml:space="preserve">Sélectivité des recrutements externes sur concours dans la FPT par catégorie hiérarchique </t>
  </si>
  <si>
    <t>Attaché d'administration hospitalière</t>
  </si>
  <si>
    <t xml:space="preserve">Attaché territorial </t>
  </si>
  <si>
    <t xml:space="preserve">Fonction publique hospitalière </t>
  </si>
  <si>
    <t xml:space="preserve">Fonction publique territoriale </t>
  </si>
  <si>
    <t xml:space="preserve">Secteur privé </t>
  </si>
  <si>
    <t>Lecture</t>
  </si>
  <si>
    <t xml:space="preserve">Note </t>
  </si>
  <si>
    <t xml:space="preserve">Champ </t>
  </si>
  <si>
    <t xml:space="preserve">BMO, France Travail </t>
  </si>
  <si>
    <t xml:space="preserve">Part des recrutements difficiles déclarés par les employeurs, secteur privé, FPT et FPH. (2014-2024) </t>
  </si>
  <si>
    <t>Taux de difficultés de recrutement = part des recrutements anticipés comme difficiles dans l’ensemble des recrutements de l’année. </t>
  </si>
  <si>
    <t>2 FP TERRITORIALE</t>
  </si>
  <si>
    <t>U1X93</t>
  </si>
  <si>
    <t>Artistes plasticiens</t>
  </si>
  <si>
    <t>QAX01</t>
  </si>
  <si>
    <t>Experts de la finance</t>
  </si>
  <si>
    <t>QEX01</t>
  </si>
  <si>
    <t>Managers en banque assurance</t>
  </si>
  <si>
    <t>D2X32</t>
  </si>
  <si>
    <t>Ouvriers de la peinture et du traitement de surface</t>
  </si>
  <si>
    <t>V2X91</t>
  </si>
  <si>
    <t>Dentistes</t>
  </si>
  <si>
    <t>S2X80</t>
  </si>
  <si>
    <t>Agents de maîtrise de la restauration</t>
  </si>
  <si>
    <t>A3X41</t>
  </si>
  <si>
    <t>Marins</t>
  </si>
  <si>
    <t>V2X92</t>
  </si>
  <si>
    <t>Vétérinaires</t>
  </si>
  <si>
    <t>J6X92</t>
  </si>
  <si>
    <t>Cadres de la logistique</t>
  </si>
  <si>
    <t>D2X31</t>
  </si>
  <si>
    <t>Ouvriers qualifiés en ajustement, montage et assemblage mécanique</t>
  </si>
  <si>
    <t>R3X82</t>
  </si>
  <si>
    <t>Professions intermédiaires commerciales des achats</t>
  </si>
  <si>
    <t>R4X92</t>
  </si>
  <si>
    <t>Cadres du management des magasins</t>
  </si>
  <si>
    <t>QAX03</t>
  </si>
  <si>
    <t>Experts de l'assurance</t>
  </si>
  <si>
    <t>E4X30</t>
  </si>
  <si>
    <t>Ouvriers en conduite d’équipement de fabrication de pâte à papier, de papier et de carton et de panneaux de bois</t>
  </si>
  <si>
    <t>B1X31</t>
  </si>
  <si>
    <t>Maçons qualifiés</t>
  </si>
  <si>
    <t>F1X30</t>
  </si>
  <si>
    <t>Ouvriers de la réalisation d'ouvrages décoratifs et meubles en bois</t>
  </si>
  <si>
    <t>E1X41</t>
  </si>
  <si>
    <t>Ouvriers qualifiés de conduite d'installation de production de métaux</t>
  </si>
  <si>
    <t>B1X34</t>
  </si>
  <si>
    <t>Couvreurs</t>
  </si>
  <si>
    <t>D1X33</t>
  </si>
  <si>
    <t>Soudeurs</t>
  </si>
  <si>
    <t>E2X20</t>
  </si>
  <si>
    <t>Ouvriers peu qualifiés des industries chimiques et plastiques</t>
  </si>
  <si>
    <t>B2X35</t>
  </si>
  <si>
    <t>Ouvriers en montage réseaux électriques et télécoms</t>
  </si>
  <si>
    <t>G0B40</t>
  </si>
  <si>
    <t>Carrossiers automobiles</t>
  </si>
  <si>
    <t>C2X70</t>
  </si>
  <si>
    <t>Techniciens, agents de maîtrise et assimilés en électricité et en électronique</t>
  </si>
  <si>
    <t>U0X92</t>
  </si>
  <si>
    <t>Journalistes et cadres de l'édition</t>
  </si>
  <si>
    <t>J0X31</t>
  </si>
  <si>
    <t>Manutentionnaires et déménageurs qualifiés</t>
  </si>
  <si>
    <t>B2X30</t>
  </si>
  <si>
    <t>Ouvriers en pose et décoration de revêtements</t>
  </si>
  <si>
    <t>B1X33</t>
  </si>
  <si>
    <t>Charpentiers (métal et bois)</t>
  </si>
  <si>
    <t>A3X40</t>
  </si>
  <si>
    <t>Pêcheurs et aquaculteurs</t>
  </si>
  <si>
    <t>R2X80</t>
  </si>
  <si>
    <t>Attachés commerciaux</t>
  </si>
  <si>
    <t>G1X75</t>
  </si>
  <si>
    <t>Techniciens et agents de maîtrise en assistance et support technique client et en installation et maintenance télécoms et courants faibles</t>
  </si>
  <si>
    <t>A0X43</t>
  </si>
  <si>
    <t>Conducteurs d'engins agricoles ou forestiers</t>
  </si>
  <si>
    <t>B6X72</t>
  </si>
  <si>
    <t>Dessinateurs en bâtiment et en travaux publics</t>
  </si>
  <si>
    <t>D6X70</t>
  </si>
  <si>
    <t>Techniciens en mécanique et travail des métaux</t>
  </si>
  <si>
    <t>F0X30</t>
  </si>
  <si>
    <t>Ouvriers, techniciens et agents de maîtrise en traitement du cuir</t>
  </si>
  <si>
    <t>R3X83</t>
  </si>
  <si>
    <t>Professions intermédiaires du marketing et des services commerciaux (hors achats)</t>
  </si>
  <si>
    <t>H1X92</t>
  </si>
  <si>
    <t>Ingénieurs en maintenance et support technique client</t>
  </si>
  <si>
    <t>J2X40</t>
  </si>
  <si>
    <t>Facteurs et distributeurs de documents (non cadres)</t>
  </si>
  <si>
    <t>S0X40</t>
  </si>
  <si>
    <t>Bouchers</t>
  </si>
  <si>
    <t>D0X33</t>
  </si>
  <si>
    <t>Régleurs</t>
  </si>
  <si>
    <t>A3X90</t>
  </si>
  <si>
    <t>Cadres et maîtres d'équipage de la marine</t>
  </si>
  <si>
    <t>M2X91</t>
  </si>
  <si>
    <t>Chefs de projet et directeurs de service informatique</t>
  </si>
  <si>
    <t>E4X32</t>
  </si>
  <si>
    <t>Ouvriers du conditionnement, du tri et de l'emballage</t>
  </si>
  <si>
    <t>J0X34</t>
  </si>
  <si>
    <t>Magasiniers et préparateurs de commande qualifiés</t>
  </si>
  <si>
    <t>W0X91</t>
  </si>
  <si>
    <t>Directeurs d’établissements du secondaire ou du supérieur et inspecteurs</t>
  </si>
  <si>
    <t>H0X40</t>
  </si>
  <si>
    <t>Ouvriers qualifiés du contrôle qualité et de laboratoire</t>
  </si>
  <si>
    <t>W0X92</t>
  </si>
  <si>
    <t>Professeurs du supérieur</t>
  </si>
  <si>
    <t>V3X70</t>
  </si>
  <si>
    <t>Techniciens médicaux et préparateurs</t>
  </si>
  <si>
    <t>K0X30</t>
  </si>
  <si>
    <t>Artisans et ouvriers artisanaux</t>
  </si>
  <si>
    <t>R4X93</t>
  </si>
  <si>
    <t>Cadres agents immobiliers et syndics</t>
  </si>
  <si>
    <t>H0X90</t>
  </si>
  <si>
    <t>Techniciens du contrôle qualité</t>
  </si>
  <si>
    <t>U1X82</t>
  </si>
  <si>
    <t>Graphistes, dessinateurs, stylistes, décorateurs et créateurs de supports de communication visuelle</t>
  </si>
  <si>
    <t>E3X20</t>
  </si>
  <si>
    <t>Ouvriers peu qualifiés des industries agro-alimentaires</t>
  </si>
  <si>
    <t>D2X30</t>
  </si>
  <si>
    <t>Ouvriers peu qualifiés en ajustement, montage et assemblage mécanique</t>
  </si>
  <si>
    <t>B2X38</t>
  </si>
  <si>
    <t>Ouvriers qualifiés en menuiserie et en agencement du BTP</t>
  </si>
  <si>
    <t>E3X40</t>
  </si>
  <si>
    <t>Ouvriers qualifiés des industries agro-alimentaires</t>
  </si>
  <si>
    <t>D1X30</t>
  </si>
  <si>
    <t>Ouvriers en chaudronnerie et tôlerie</t>
  </si>
  <si>
    <t>J3X40</t>
  </si>
  <si>
    <t>Conducteurs de véhicules légers</t>
  </si>
  <si>
    <t>G1X74</t>
  </si>
  <si>
    <t>Techniciens et agents de maîtrise en installation et maintenance en froid et conditionnement d'air</t>
  </si>
  <si>
    <t>R3X80</t>
  </si>
  <si>
    <t>Maîtrise des magasins</t>
  </si>
  <si>
    <t>R1X68</t>
  </si>
  <si>
    <t>Employés des services commerciaux</t>
  </si>
  <si>
    <t>QCX01</t>
  </si>
  <si>
    <t>Employés et techniciens commerciaux de la banque</t>
  </si>
  <si>
    <t>H1X93</t>
  </si>
  <si>
    <t>Ingénieurs des méthodes de production, du contrôle qualité</t>
  </si>
  <si>
    <t>G1X72</t>
  </si>
  <si>
    <t>Techniciens et agents de maîtrise en maintenance générale et mécanique industrielle</t>
  </si>
  <si>
    <t>A1X40</t>
  </si>
  <si>
    <t>Maraîchers et horticulteurs</t>
  </si>
  <si>
    <t>R3X84</t>
  </si>
  <si>
    <t>Employés et professions intermédiaires de l'immobilier</t>
  </si>
  <si>
    <t>V2X93</t>
  </si>
  <si>
    <t>Pharmaciens</t>
  </si>
  <si>
    <t>B7X90</t>
  </si>
  <si>
    <t>Architectes</t>
  </si>
  <si>
    <t>J1X80</t>
  </si>
  <si>
    <t>Responsable du magasinage et de la logistique (non cadres)</t>
  </si>
  <si>
    <t>G1X77</t>
  </si>
  <si>
    <t>Techniciens et agents de maîtrise en maintenance électrique, électronique et automatismes</t>
  </si>
  <si>
    <t>B7X92</t>
  </si>
  <si>
    <t>Ingénieurs du bâtiment et des travaux publics, chefs de chantier et conducteurs de travaux (cadres)</t>
  </si>
  <si>
    <t>J5X80</t>
  </si>
  <si>
    <t>Techniciens d'exploitation et d'administration des transports</t>
  </si>
  <si>
    <t>G1X76</t>
  </si>
  <si>
    <t>Mainteniciens en biens électrodomestiques</t>
  </si>
  <si>
    <t>M2X92</t>
  </si>
  <si>
    <t>Responsables et cadres de la production, de l'exploitation et de la maintenance informatique et télécom</t>
  </si>
  <si>
    <t>J6X90</t>
  </si>
  <si>
    <t>Cadres des transports et du tourisme</t>
  </si>
  <si>
    <t>L5X93</t>
  </si>
  <si>
    <t>Chargés d'études socio-économiques</t>
  </si>
  <si>
    <t>B1X30</t>
  </si>
  <si>
    <t>Maçons peu qualifiés</t>
  </si>
  <si>
    <t>G1X71</t>
  </si>
  <si>
    <t>Techniciens et agents de maîtrise en maintenance de véhicules</t>
  </si>
  <si>
    <t>L6X90</t>
  </si>
  <si>
    <t>Cadres dirigeants des grandes entreprises de plus de 50 salariés</t>
  </si>
  <si>
    <t>N1X91</t>
  </si>
  <si>
    <t>Chercheurs (sauf industrie et enseignement supérieur)</t>
  </si>
  <si>
    <t>B7X91</t>
  </si>
  <si>
    <t>Cadres des études BTP, des études géologiques, du métré de la construction et du contrôle et diagnostic technique du BTP</t>
  </si>
  <si>
    <t>H1X90</t>
  </si>
  <si>
    <t>Ingénieurs et cadres de fabrication et de la production</t>
  </si>
  <si>
    <t>G0A41</t>
  </si>
  <si>
    <t>Ouvriers de la maintenance en électricité et en électronique</t>
  </si>
  <si>
    <t>J5X40</t>
  </si>
  <si>
    <t>Agents d'exploitation du transport</t>
  </si>
  <si>
    <t>R1X67</t>
  </si>
  <si>
    <t>Télévendeurs et téléconseillers</t>
  </si>
  <si>
    <t>W0X90</t>
  </si>
  <si>
    <t>Professeurs du secondaire</t>
  </si>
  <si>
    <t>L6X00</t>
  </si>
  <si>
    <t>Dirigeants de petites et moyennes entreprises de moins de 50 salariés</t>
  </si>
  <si>
    <t>E0X30</t>
  </si>
  <si>
    <t>Pilotes d'installation lourdes des industries de transformation et d'énergie</t>
  </si>
  <si>
    <t>U0X90</t>
  </si>
  <si>
    <t>Cadres de la communication</t>
  </si>
  <si>
    <t>E5X80</t>
  </si>
  <si>
    <t>Agents de maîtrise et assimilés des industries de process</t>
  </si>
  <si>
    <t>B6X74</t>
  </si>
  <si>
    <t>Conducteurs de travaux et chefs de chantier non cadres</t>
  </si>
  <si>
    <t>P3X90</t>
  </si>
  <si>
    <t>Professionnels du droit</t>
  </si>
  <si>
    <t>B0X32</t>
  </si>
  <si>
    <t>Ouvriers de la construction en béton</t>
  </si>
  <si>
    <t>K0X32</t>
  </si>
  <si>
    <t>Artisans et ouvriers de blanchisserie</t>
  </si>
  <si>
    <t>V4X80</t>
  </si>
  <si>
    <t>Professionnels de l’orientation et de l’insertion professionnelle</t>
  </si>
  <si>
    <t>S3X90</t>
  </si>
  <si>
    <t>Patrons et cadres de l’hôtellerie et de la restauration</t>
  </si>
  <si>
    <t>M2X93</t>
  </si>
  <si>
    <t>Experts et consultants en systèmes d'information</t>
  </si>
  <si>
    <t>R4X90</t>
  </si>
  <si>
    <t>Cadres commerciaux, acheteurs et cadres de la mercatique</t>
  </si>
  <si>
    <t>C0X30</t>
  </si>
  <si>
    <t>Ouvriers de l'électricité et de l'électronique</t>
  </si>
  <si>
    <t>J4X62</t>
  </si>
  <si>
    <t>Employés administratifs et commerciaux des transports</t>
  </si>
  <si>
    <t>N0X70</t>
  </si>
  <si>
    <t>Techniciens d'étude, recherche et développement</t>
  </si>
  <si>
    <t>W0X80</t>
  </si>
  <si>
    <t>Professeurs des écoles</t>
  </si>
  <si>
    <t>J3X44</t>
  </si>
  <si>
    <t>Conducteurs sur rails et d'engins de traction</t>
  </si>
  <si>
    <t>J5X81</t>
  </si>
  <si>
    <t>Techniciens et agents de maîtrise du tourisme</t>
  </si>
  <si>
    <t>L4X81</t>
  </si>
  <si>
    <t>Techniciens et agents de maîtrise des services financiers ou comptables</t>
  </si>
  <si>
    <t>B5X40</t>
  </si>
  <si>
    <t>Conducteurs d'engins du bâtiment et des travaux publics</t>
  </si>
  <si>
    <t>J0X32</t>
  </si>
  <si>
    <t>Conducteurs d’engins légers de déplacement de charges, cariste</t>
  </si>
  <si>
    <t>B2X36</t>
  </si>
  <si>
    <t>Ouvriers en peinture en bâtiment</t>
  </si>
  <si>
    <t>M2X90</t>
  </si>
  <si>
    <t>Ingénieurs et cadres d'étude, recherche et développement en informatique et télécom</t>
  </si>
  <si>
    <t>R0X61</t>
  </si>
  <si>
    <t>Caissiers</t>
  </si>
  <si>
    <t>B2X37</t>
  </si>
  <si>
    <t>Ouvriers peu qualifiés en menuiserie et en agencement du BTP</t>
  </si>
  <si>
    <t>H0X92</t>
  </si>
  <si>
    <t>Techniciens et agents de maîtrise de la logistique, du planning, de l'ordonnancement et méthodes en industrialisation</t>
  </si>
  <si>
    <t>V3X80</t>
  </si>
  <si>
    <t>Autres professionnels para-médicaux</t>
  </si>
  <si>
    <t>L4X82</t>
  </si>
  <si>
    <t>Techniciens et agents de maîtrise chargés d'études socio-économiques</t>
  </si>
  <si>
    <t>S2X81</t>
  </si>
  <si>
    <t>Agents de maîtrise de l'hôtellerie et de la gestion des structures de loisirs</t>
  </si>
  <si>
    <t>W1X80</t>
  </si>
  <si>
    <t>Formateurs</t>
  </si>
  <si>
    <t>QBX01</t>
  </si>
  <si>
    <t>Gestionnaires de la banque et de l'assurance</t>
  </si>
  <si>
    <t>J0X33</t>
  </si>
  <si>
    <t>Magasiniers et préparateurs de commandes peu qualifiés</t>
  </si>
  <si>
    <t>A2X90</t>
  </si>
  <si>
    <t>Ingénieurs, cadres techniques de l'agriculture</t>
  </si>
  <si>
    <t>A0X40</t>
  </si>
  <si>
    <t>Agriculteurs</t>
  </si>
  <si>
    <t>L5X91</t>
  </si>
  <si>
    <t>Juristes et avocats</t>
  </si>
  <si>
    <t>S2X61</t>
  </si>
  <si>
    <t>Serveurs de cafés restaurants</t>
  </si>
  <si>
    <t>B2X33</t>
  </si>
  <si>
    <t>Plombiers chauffagistes</t>
  </si>
  <si>
    <t>G0A40</t>
  </si>
  <si>
    <t>Ouvriers de la maintenance générale et mécanique</t>
  </si>
  <si>
    <t>A0X42</t>
  </si>
  <si>
    <t>Bûcherons, sylviculteurs et agents forestiers</t>
  </si>
  <si>
    <t>H1X91</t>
  </si>
  <si>
    <t>Ingénieurs et cadres techniques en Hygiène Sécurité Environnement -HSE- industriels et exploitation éco-industriel</t>
  </si>
  <si>
    <t>M1X80</t>
  </si>
  <si>
    <t>Techniciens d'étude et de développement en informatique</t>
  </si>
  <si>
    <t>R0X60</t>
  </si>
  <si>
    <t>Employés de libre service</t>
  </si>
  <si>
    <t>J3X41</t>
  </si>
  <si>
    <t>Conducteurs de transport en commun sur route</t>
  </si>
  <si>
    <t>L5X92</t>
  </si>
  <si>
    <t>Cadres des ressources humaines et du recrutement</t>
  </si>
  <si>
    <t>N1X90</t>
  </si>
  <si>
    <t>Ingénieurs et cadres d'étude, recherche et développement (industrie)</t>
  </si>
  <si>
    <t>S1X80</t>
  </si>
  <si>
    <t>Chefs cuisiniers</t>
  </si>
  <si>
    <t>V3X90</t>
  </si>
  <si>
    <t>Psychologues, psychothérapeutes</t>
  </si>
  <si>
    <t>V4X84</t>
  </si>
  <si>
    <t>Aides médico-psychologiques</t>
  </si>
  <si>
    <t>G0B41</t>
  </si>
  <si>
    <t>Ouvriers mécaniciens de véhicules</t>
  </si>
  <si>
    <t>U0X80</t>
  </si>
  <si>
    <t>Assistants de la communication</t>
  </si>
  <si>
    <t>T0X60</t>
  </si>
  <si>
    <t>Coiffeurs, esthéticiens</t>
  </si>
  <si>
    <t>B6X73</t>
  </si>
  <si>
    <t>Techniciens et agents de maîtrise de chantiers du BTP </t>
  </si>
  <si>
    <t>S2X60</t>
  </si>
  <si>
    <t>Employés de l'hôtellerie</t>
  </si>
  <si>
    <t>J0X30</t>
  </si>
  <si>
    <t>Manutentionnaires et déménageurs peu qualifiés</t>
  </si>
  <si>
    <t>J3X43</t>
  </si>
  <si>
    <t>Conducteurs routiers</t>
  </si>
  <si>
    <t>B6X71</t>
  </si>
  <si>
    <t>Techniciens experts et chargés d’études du BTP</t>
  </si>
  <si>
    <t>E5X70</t>
  </si>
  <si>
    <t>Techniciens des industries de process</t>
  </si>
  <si>
    <t>B2X32</t>
  </si>
  <si>
    <t>Ouvriers en électricité du bâtiment</t>
  </si>
  <si>
    <t>M1X81</t>
  </si>
  <si>
    <t>Techniciens de production, d'exploitation, d'installation, et de maintenance, support et services aux utilisateurs en informatique</t>
  </si>
  <si>
    <t>J4X60</t>
  </si>
  <si>
    <t>Agents et hôtesses d'accompagnement</t>
  </si>
  <si>
    <t>T3X60</t>
  </si>
  <si>
    <t>Concierges</t>
  </si>
  <si>
    <t>G1X78</t>
  </si>
  <si>
    <t>Techniciens et agents de maîtrise en distribution et assainissement d'eau et gestion des déchets</t>
  </si>
  <si>
    <t>J3X42</t>
  </si>
  <si>
    <t>Conducteurs et livreurs sur courte distance (hors distribution de documents)</t>
  </si>
  <si>
    <t>L3X80</t>
  </si>
  <si>
    <t>Secrétaires de direction</t>
  </si>
  <si>
    <t>L5X90</t>
  </si>
  <si>
    <t>Cadres administratifs, comptables et financiers (hors juristes)</t>
  </si>
  <si>
    <t>A2X70</t>
  </si>
  <si>
    <t>Techniciens et agents d'encadrement d'exploitations agricoles</t>
  </si>
  <si>
    <t>U0X91</t>
  </si>
  <si>
    <t>Cadres et techniciens de la documentation</t>
  </si>
  <si>
    <t>B0X31</t>
  </si>
  <si>
    <t>Ouvriers qualifiés de l'extraction et des travaux publics</t>
  </si>
  <si>
    <t>V2X90</t>
  </si>
  <si>
    <t>Médecins</t>
  </si>
  <si>
    <t>L4X80</t>
  </si>
  <si>
    <t>Techniciens des services administratifs</t>
  </si>
  <si>
    <t>L1X60</t>
  </si>
  <si>
    <t>Employés de la comptabilité</t>
  </si>
  <si>
    <t>T1X60</t>
  </si>
  <si>
    <t>Personnels de ménage chez des particuliers</t>
  </si>
  <si>
    <t>T3X61</t>
  </si>
  <si>
    <t>Agents de sécurité et de surveillance</t>
  </si>
  <si>
    <t>S1X40</t>
  </si>
  <si>
    <t>Cuisiniers</t>
  </si>
  <si>
    <t>B0X30</t>
  </si>
  <si>
    <t>Ouvriers peu qualifiés de l'extraction et des travaux publics</t>
  </si>
  <si>
    <t>T4X61</t>
  </si>
  <si>
    <t>Agents de service hospitaliers</t>
  </si>
  <si>
    <t>V1X80</t>
  </si>
  <si>
    <t>Infirmiers et sages-femmes</t>
  </si>
  <si>
    <t>L0X60</t>
  </si>
  <si>
    <t>Secrétaires bureautiques et assimilés</t>
  </si>
  <si>
    <t>V4X85</t>
  </si>
  <si>
    <t>Professionnels de l'action sociale</t>
  </si>
  <si>
    <t>V4X83</t>
  </si>
  <si>
    <t>Educateurs spécialisés et autres intervenants socio-éducatifs</t>
  </si>
  <si>
    <t>L2X60</t>
  </si>
  <si>
    <t>Agents d'accueil et d'information</t>
  </si>
  <si>
    <t>V5X84</t>
  </si>
  <si>
    <t>Surveillants d'établissements scolaires et accompagnateurs des élèves en situation de handicap</t>
  </si>
  <si>
    <t>G0A43</t>
  </si>
  <si>
    <t>Ouvriers polyvalents d'entretien du bâtiment</t>
  </si>
  <si>
    <t>T6X61</t>
  </si>
  <si>
    <t>Employés des services divers</t>
  </si>
  <si>
    <t>S1X20</t>
  </si>
  <si>
    <t>Aides de cuisine et employés polyvalents de la restauration</t>
  </si>
  <si>
    <t>V0X60</t>
  </si>
  <si>
    <t>Aides-soignants</t>
  </si>
  <si>
    <t>L2X61</t>
  </si>
  <si>
    <t>Agents administratifs</t>
  </si>
  <si>
    <t>V5X82</t>
  </si>
  <si>
    <t>Sportifs et animateurs sportifs</t>
  </si>
  <si>
    <t>T2A60</t>
  </si>
  <si>
    <t>Aides à domicile et auxiliaires de vie</t>
  </si>
  <si>
    <t>T4X62</t>
  </si>
  <si>
    <t>Ouvriers de l'assainissement et du traitement des déchets</t>
  </si>
  <si>
    <t>T2B60</t>
  </si>
  <si>
    <t>Assistants maternels, auxiliaires de puériculture, assistants familiaux et gardes à domicile</t>
  </si>
  <si>
    <t>A1X41</t>
  </si>
  <si>
    <t>Jardiniers des espaces verts et naturels</t>
  </si>
  <si>
    <t>T4X60</t>
  </si>
  <si>
    <t>Agents d'entretien de locaux</t>
  </si>
  <si>
    <t>V5X81</t>
  </si>
  <si>
    <t>Professionnels de l'animation socioculturelle</t>
  </si>
  <si>
    <t>dif territoriale-privé</t>
  </si>
  <si>
    <t>pdif privé</t>
  </si>
  <si>
    <t>pdif</t>
  </si>
  <si>
    <t>dif</t>
  </si>
  <si>
    <t>recrut</t>
  </si>
  <si>
    <t>nombre répondants</t>
  </si>
  <si>
    <t>CHAMP</t>
  </si>
  <si>
    <t>Code FAP</t>
  </si>
  <si>
    <t>Libellé FAP228</t>
  </si>
  <si>
    <t xml:space="preserve">La taille des bulles est proportionnelle aux effectifs concernés 
Cercle vert : métiers à faibles difficultés de recrutement dans le privé comme dans la FPT et globalement équivalente dans les deux 
Cercle : bleu : métiers à fortes difficultés dans le privé et moindre dans la FPT 
Cercle violet : métiers à fortes difficulté dans le privé et la FPT, dans le deux cas au-dessus de la moyenne des métiers  
Cercle rouge : métiers à très fortes difficultés dans le privé et la FPT et dans les mêmes proportions dans les deux cas </t>
  </si>
  <si>
    <t>3 FP HOSPITALIERE</t>
  </si>
  <si>
    <t>V3X71</t>
  </si>
  <si>
    <t>Spécialistes de l'appareillage médical</t>
  </si>
  <si>
    <t>G1X70</t>
  </si>
  <si>
    <t>Techniciens et agents de maîtrise en intervention technique en Hygiène Sécurité Environnement -HSE industriel et protection du patrimoine naturel</t>
  </si>
  <si>
    <t>U0X81</t>
  </si>
  <si>
    <t>Interprètes</t>
  </si>
  <si>
    <t>F0X32</t>
  </si>
  <si>
    <t>Ouvriers, techniciens et agents de maîtrise du textile</t>
  </si>
  <si>
    <t>dif hospitaliere-privé</t>
  </si>
  <si>
    <t>champ</t>
  </si>
  <si>
    <t>fap</t>
  </si>
  <si>
    <t>Intitulé FAP228</t>
  </si>
  <si>
    <t>T1</t>
  </si>
  <si>
    <t>T4</t>
  </si>
  <si>
    <t>T3</t>
  </si>
  <si>
    <t>T2</t>
  </si>
  <si>
    <t>4 - Autres filières professionnelles</t>
  </si>
  <si>
    <t>3 - Personnel médical</t>
  </si>
  <si>
    <t>2 - Autres personnels soignants</t>
  </si>
  <si>
    <t>1 - Infirmiers</t>
  </si>
  <si>
    <t>En %</t>
  </si>
  <si>
    <t xml:space="preserve">Au premier trimestre 2023, le taux de recours du secteur hospitalier public aux infirmiers intérimaires est de 0,73%. </t>
  </si>
  <si>
    <t>Etablissements hospitaliers recourant aux intérimaires des entreprises de travail temporaire.France hors Mayotte</t>
  </si>
  <si>
    <t>Taux de recours du secteur hospitalier public aux intérimaires des entreprises de travail temporaire de 2017 à début 2023</t>
  </si>
  <si>
    <t>nd</t>
  </si>
  <si>
    <t xml:space="preserve">En % des postes offerts </t>
  </si>
  <si>
    <t xml:space="preserve">Postes non pourvus </t>
  </si>
  <si>
    <t>Recrutés</t>
  </si>
  <si>
    <t>Note</t>
  </si>
  <si>
    <t>Ensemble des recrutements externes au sein de la FPE, hors maître de conférences et professeurs des universités avant 2017. Y compris concours unique, troisième concours, recrutements hors concours et PACTE.</t>
  </si>
  <si>
    <t>Source</t>
  </si>
  <si>
    <t>Titre</t>
  </si>
  <si>
    <t>2d degré (2000-2023)</t>
  </si>
  <si>
    <t>1er degré (2010-2023)</t>
  </si>
  <si>
    <t xml:space="preserve">Privé </t>
  </si>
  <si>
    <t>2d degré (2000-2024)</t>
  </si>
  <si>
    <t>1er degré (2000-2024)</t>
  </si>
  <si>
    <t xml:space="preserve">Public </t>
  </si>
  <si>
    <t xml:space="preserve">               </t>
  </si>
  <si>
    <t xml:space="preserve">Lecture </t>
  </si>
  <si>
    <t>Total général</t>
  </si>
  <si>
    <t>Etablissements de santé hors CHU</t>
  </si>
  <si>
    <t>Enquête 2019</t>
  </si>
  <si>
    <t xml:space="preserve">Infirmiers diplômés d’Etat (IDE) </t>
  </si>
  <si>
    <t xml:space="preserve">Aides-soignants (AS) </t>
  </si>
  <si>
    <t>Les employeurs sont interrogés sur les postes « vacants » tout statut confondu, pas uniquement les titulaires</t>
  </si>
  <si>
    <t>43% </t>
  </si>
  <si>
    <t>13 </t>
  </si>
  <si>
    <t>Educateurs de la petite enfance </t>
  </si>
  <si>
    <t>75% </t>
  </si>
  <si>
    <t>11 </t>
  </si>
  <si>
    <t>Psychologues </t>
  </si>
  <si>
    <t>60% </t>
  </si>
  <si>
    <t>12 </t>
  </si>
  <si>
    <t>Assistants de santé </t>
  </si>
  <si>
    <t>55% </t>
  </si>
  <si>
    <t>14 </t>
  </si>
  <si>
    <t>Médecins spécialistes </t>
  </si>
  <si>
    <t>Médecins généralistes </t>
  </si>
  <si>
    <t>54% </t>
  </si>
  <si>
    <t>18 </t>
  </si>
  <si>
    <t>Professionnels des soins infirmiers </t>
  </si>
  <si>
    <t>Dont pays déclarant une pénurie grave </t>
  </si>
  <si>
    <t>Pays de l’UE déclarant une pénurie </t>
  </si>
  <si>
    <t>Métiers </t>
  </si>
  <si>
    <t xml:space="preserve">Différence </t>
  </si>
  <si>
    <t>Effectifs des nouvelles pensions de droit direct civiles</t>
  </si>
  <si>
    <t>Sortants</t>
  </si>
  <si>
    <t>% de départs volontaires / départs totaux</t>
  </si>
  <si>
    <t>départs à la retraite</t>
  </si>
  <si>
    <t>départs volontaires</t>
  </si>
  <si>
    <t>Ruptures conventionnelles</t>
  </si>
  <si>
    <t>Démissions</t>
  </si>
  <si>
    <t>2021-2022</t>
  </si>
  <si>
    <t>2020-2021</t>
  </si>
  <si>
    <t>2019-2020</t>
  </si>
  <si>
    <t>2018-2019</t>
  </si>
  <si>
    <t>2017-2018</t>
  </si>
  <si>
    <t>2016-2017</t>
  </si>
  <si>
    <t>2015-2016</t>
  </si>
  <si>
    <t>2014-2015</t>
  </si>
  <si>
    <t>2013-2014</t>
  </si>
  <si>
    <t>2012-2013</t>
  </si>
  <si>
    <t>2011-2012</t>
  </si>
  <si>
    <t>2010-2011</t>
  </si>
  <si>
    <t>2009-2010</t>
  </si>
  <si>
    <t>2008-2009</t>
  </si>
  <si>
    <t>Année scolaire</t>
  </si>
  <si>
    <t>Evolution de la part de départs définitifs volontaires parmi les sorties annuelles</t>
  </si>
  <si>
    <t>postes vacants 2019-2022 par catégorie d’établissement (en %)</t>
  </si>
  <si>
    <t xml:space="preserve">Au printemps 2022, 2,5% des postes d'aides-soignants sont vacants. </t>
  </si>
  <si>
    <t>DEPP Séries chronologiques, les concours de recrutement / Bases statistiques des concours créées à partir des extractions du système de gestion Ocean (Organisation des concours et examens académiques et nationaux) depuis la session 2000</t>
  </si>
  <si>
    <t xml:space="preserve">En 2024, le taux de couverture des postes ouverts du second degré public était de 88%. </t>
  </si>
  <si>
    <t xml:space="preserve">Enseignants fonctionnaires, France métropolitaine + DROM. </t>
  </si>
  <si>
    <t>Tous concours externes (CPRE, agrégation, CAPES, CAPEPS, CAPET, CAPLP), public et privé, premier et second degré, y compris sessions supplémentaires, France métropolitaine + DROM.</t>
  </si>
  <si>
    <t>Rapport annuel sur l’état de la fonction publique- Édition 2024, DGAFP</t>
  </si>
  <si>
    <t>Sélectivité globale</t>
  </si>
  <si>
    <t>Postes offerts sur concours</t>
  </si>
  <si>
    <t>Rapport annuel sur l’état de la fonction publique- Édition 2024</t>
  </si>
  <si>
    <t>Rapport annuel sur l’état de la fonction publique- Éditions 2001 à 2024, DGAFP.</t>
  </si>
  <si>
    <t>Concours externes des agents titulaires de la FPE (2000-2005 et 2022) et ensemble des recrutements externes des agents titulaires de la FPE (2006-2021).</t>
  </si>
  <si>
    <t xml:space="preserve">
(1) Entre 2000 et 2001, seuls les concours externes de la FPE dont le nombre de candidats admis sur la liste principale et/ou effectivement recrutés est supérieur à 200 sont pris en compte. Entre 2002 et 2005, seuls les concours externes de la FPE dont le nombre de candidats admis sur la liste principale est supérieur à 200 sont pris en compte. Entre 2006 et 2018, seuls les recrutements externes de la FPE dont le nombre de candidats admis sur la liste principale est supérieur à 200 sont pris en compte. Entre 2019 et 2021, tous les recrutements externes de titulaires de la FPE sont pris en compte. En 2022, seuls les recrutements externes sur concours sont pris en compte. 
</t>
  </si>
  <si>
    <t>(2) Taux de présence = nombre de présents / nombre d’inscrits</t>
  </si>
  <si>
    <t xml:space="preserve">(3) L’absence de données pour la catégorie C pour les années 2010, 2011 et 2012 provient d’un trop grand nombre de données non communiquées, ce qui empêche par ailleurs de calculer un taux de présence global pour ces trois années. Pour l’année 2019, les données de la DGAFP ne sont pas détaillées par catégorie. 
</t>
  </si>
  <si>
    <t>(4) Différents concours ont changé de catégorie sur la période, en particulier celui des infirmiers (passé de catégorie B à catégorie A en 2012) et celui des gardiens de la paix (passé de catégorie C à catégorie B en 2006). </t>
  </si>
  <si>
    <t xml:space="preserve">Rapport annuel sur l’état de la fonction publique- Édition 2024, DGAFP </t>
  </si>
  <si>
    <t>Evolution du nombre de fonctionnaires sortants et des effectifs des nouvelles pensions civiles de droit  direct (2014-2022)</t>
  </si>
  <si>
    <t>Rapport annuel sur l’état de la fonction publique- Édition 2024, DGAFP pour les effectifs de pensionnés ; Rapport annuel sur l’état de la fonction publique- Édition 2016 à 2024 DGAFP pour le nombre de fonctionnaires sortant</t>
  </si>
  <si>
    <t xml:space="preserve">En 2022, 199 700 fonctionnaires ont quitté la fonction publique dont 122 121 pour motif de départ en retraite. </t>
  </si>
  <si>
    <t>Le taux de sélectivité correspond au rapport entre le nombre de présents aux concours et le nombre de postes offerts.</t>
  </si>
  <si>
    <t>Les données relatives aux recrutements sans concours en 2017 n’ont pas été diffusées. </t>
  </si>
  <si>
    <t>Evolution des admis titulaires de la FPT selon la voie de recrutement externe (2011-2022)</t>
  </si>
  <si>
    <t>Les données sont indisponibles pour 2021 car le nombre de présents aux concours externes de la ville de Paris n'a pas été communiqué.</t>
  </si>
  <si>
    <t xml:space="preserve">Evolution des taux de sélectivité (1) des concours externes de la FPT </t>
  </si>
  <si>
    <t>2021 (2)</t>
  </si>
  <si>
    <t>(1) Taux de sélectivité = Candidtats présents / postes offerts</t>
  </si>
  <si>
    <t>(2) Les données sont indisponibles pour 2021 car le nombre de présents aux concours externes de la ville de Paris n'a pas été communiqué.</t>
  </si>
  <si>
    <t xml:space="preserve">Taux de sélectivité = nombre de présents aux concours / nombre d'admis </t>
  </si>
  <si>
    <t xml:space="preserve">Evolution du nombre de postes non pourvus suite aux recrutements externes d'agents titulaires dans la FPE </t>
  </si>
  <si>
    <t>Champ pensionnés : Pour la FPE, pensions de droit direct versées par le SRE, hors La Poste et Orange. Pour la FPT et la FPH, pensions de droit direct versées aux fonctionnaires par la CNRACL, soit ceux dont la durée hebdomadaire de travail est d'au minimum 28 heures.</t>
  </si>
  <si>
    <t xml:space="preserve">Champ fonctionnaires : Emplois principaux, agents civils, situés en France (hors Mayotte). </t>
  </si>
  <si>
    <t xml:space="preserve">Les sorties de la FP peuvent notamment être motivées par des mises en disponibilité, la prise d’un congé parental, des mobilités vers le secteur privé ou libéral, des démissions. </t>
  </si>
  <si>
    <t>Y compris Centre d'action sociale. Le taux de sélectivité correspond ici au ratio entre le nombre de présents et le nombre d'admis.</t>
  </si>
  <si>
    <t>Evolution du nombre de postes offerts et de candidats présents aux concours externes de la FPE (base 100 1985)</t>
  </si>
  <si>
    <t>Rapport annuel sur l’état de la fonction publique - Édition 2024</t>
  </si>
  <si>
    <t>Evolution du nombre de candidats reconstitué selon Charles et al. (2020), « La perte d’attractivité du professorat des écoles dans les années 2000 » in Éducation et formation, n° 101, novembre ; prolongé pour la période 2017-2023 : séries chronologiques DEPP (les concours de recrutement des professeurs des écoles de l’enseignement public)</t>
  </si>
  <si>
    <t>Évolution des candidats présents et des postes offerts au sein des concours externes de la FPE, par catégorie (base 100 en 2000)</t>
  </si>
  <si>
    <t>Nombre de candidats inscrits aux concours des principaux concours de catégorie B à forte composante numérique (base 1 en 2018)</t>
  </si>
  <si>
    <t xml:space="preserve">Taux de présence aux concours de la FPE par catégorie </t>
  </si>
  <si>
    <t xml:space="preserve">Evolution des taux de sélectivité des concours externes de l'éducation nationale </t>
  </si>
  <si>
    <t>Évolution de la sélectivité des concours externes d’attaché (catégorie A) dans les trois versants de la fonction publique</t>
  </si>
  <si>
    <t xml:space="preserve">Instituts régionaux d'administration </t>
  </si>
  <si>
    <t>en 2024, 59,4 % des projets de recrutement sont jugés difficiles par les employeurs de la fonction
publique hospitalière.</t>
  </si>
  <si>
    <t>BMO, France Travail. Données 2024</t>
  </si>
  <si>
    <t>Part des projets de recrutement jugés difficiles déclarés selon les métiers présents dans le secteur privé et la FPT en 2024</t>
  </si>
  <si>
    <t>Part des projets de recrutement jugés difficiles déclarés selon les métiers présents dans le secteur privé et la FPH en 2024</t>
  </si>
  <si>
    <t>Dares/Drees (2023), « À l’hôpital, un recours faible à l’intérim mais en nette hausse depuis six ans », Dares Focus, n° 50, septembre</t>
  </si>
  <si>
    <t>en 2022, 15 % des postes offerts aux recrutements externes de la FPE n’ont pas été pourvus, soit 6 000 postes</t>
  </si>
  <si>
    <t xml:space="preserve">Postes non pourvus = nombre de postes offerts - nombre de recrutés. </t>
  </si>
  <si>
    <t>le taux de couverture est le rapport du nombre d’admis au nombre de postes, en pourcentage. Ce taux peut
être supérieur à 1 s’il y a plus d’admis que de postes initialement ouverts. Des postes non pourvus par les concours internes peuvent être basculés sur les concours externes sans être comptabilisés dans le nombre de postes offerts aux concours externes.</t>
  </si>
  <si>
    <t>Postes vacants
 (en % par catégorie d’établissements)</t>
  </si>
  <si>
    <t>Etablissements et services médico-sociaux (ESMS)</t>
  </si>
  <si>
    <t xml:space="preserve">Centres hosp. Universitaires/Régionaux </t>
  </si>
  <si>
    <t>FHF, Enquête RH 2022</t>
  </si>
  <si>
    <t>European Labor Authority, EURES, Report on labour shortages and surpluses 2022, mise en forme France Stratégie</t>
  </si>
  <si>
    <t>Pénurie de professionnels de santé dans l'UE</t>
  </si>
  <si>
    <t>RERS 2023 et Panorama statistique des personnels de l’enseignement scolaire, calculs France Stratégie</t>
  </si>
  <si>
    <t>Taux de couverture des concours externes de l'enseignement scolaire (en %)</t>
  </si>
  <si>
    <t>Sommaire</t>
  </si>
  <si>
    <t>Graphique 29 : Evolution du nombre de postes offerts et de candidats présents aux concours externes de la FPE (base 100 1985)</t>
  </si>
  <si>
    <t>Graphique 30 : Evolution du nombre de candidats aux concours externes du premier degré public et diplôme exigé</t>
  </si>
  <si>
    <t>Graphique 31 : Évolution des candidats présents et des postes offerts au sein des concours externes de la FPE, par catégorie (base 100 en 2000)</t>
  </si>
  <si>
    <t>Graphique 32 : Nombre de candidats inscrits aux concours des principaux concours de catégorie B à forte composante numérique (base 1 en 2018)</t>
  </si>
  <si>
    <t>Graphique 33 : Evolution des admis titulaires de la FPT selon la voie de recrutement externe (2011-2022)</t>
  </si>
  <si>
    <t xml:space="preserve">Graphique 34 : Evolution comparée des postes offerts et des candidats présents aux concours de la FPT  (en base 100 - 2011) </t>
  </si>
  <si>
    <t xml:space="preserve">Graphique 35 : Taux de présence aux concours de la FPE par catégorie </t>
  </si>
  <si>
    <t xml:space="preserve">Graphique 36 : Evolution des taux de sélectivité dans la FPE (hors enseignement) par catégorie hiérarchique </t>
  </si>
  <si>
    <t xml:space="preserve">Graphique 37 : Evolution des taux de sélectivité des concours externes de l'éducation nationale </t>
  </si>
  <si>
    <t xml:space="preserve">Graphique 38 : Evolution des taux de sélectivité (1) des concours externes de la FPT </t>
  </si>
  <si>
    <t xml:space="preserve">Graphique 39 : Sélectivité des recrutements externes sur concours dans la FPT par catégorie hiérarchique </t>
  </si>
  <si>
    <t>Graphique 40 : Évolution de la sélectivité des concours externes d’attaché (catégorie A) dans les trois versants de la fonction publique</t>
  </si>
  <si>
    <t xml:space="preserve">Graphique 41 : Part des recrutements difficiles déclarés par les employeurs, secteur privé, FPT et FPH. (2014-2024) </t>
  </si>
  <si>
    <t>Graphique 42 : Part des projets de recrutement jugés difficiles déclarés selon les métiers présents dans le secteur privé et la FPT en 2024</t>
  </si>
  <si>
    <t>Graphique 43 : Part des projets de recrutement jugés difficiles déclarés selon les métiers présents dans le secteur privé et la FPH en 2024</t>
  </si>
  <si>
    <t>Graphique 44 : Taux de recours du secteur hospitalier public aux intérimaires des entreprises de travail temporaire de 2017 à début 2023</t>
  </si>
  <si>
    <t xml:space="preserve">Graphique 45 : Evolution du nombre de postes non pourvus suite aux recrutements externes d'agents titulaires dans la FPE </t>
  </si>
  <si>
    <t>Graphique 46 : Taux de couverture des concours externes de l'enseignement scolaire (en %)</t>
  </si>
  <si>
    <t>Tableau 2 : postes vacants 2019-2022 par catégorie d’établissement (en %)</t>
  </si>
  <si>
    <t>Tableau 3 : Pénurie de professionnels de santé dans l'UE</t>
  </si>
  <si>
    <t>Graphique 47 : Evolution du nombre de fonctionnaires sortants et des effectifs des nouvelles pensions civiles de droit  direct (2014-2022)</t>
  </si>
  <si>
    <t>Graphique 48 : Evolution de la part de départs définitifs volontaires parmi les sorties annuelles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</si>
</sst>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_-* #,##0_-;\-* #,##0_-;_-* &quot;-&quot;??_-;_-@_-"/>
    <numFmt numFmtId="166" formatCode="#,##0.0"/>
    <numFmt numFmtId="167" formatCode="_-* #,##0.0_-;\-* #,##0.0_-;_-* &quot;-&quot;??_-;_-@_-"/>
    <numFmt numFmtId="168" formatCode="0.0%"/>
    <numFmt numFmtId="169" formatCode="_-* #,##0.00\ _€_-;\-* #,##0.00\ _€_-;_-* &quot;-&quot;??\ _€_-;_-@_-"/>
  </numFmts>
  <fonts count="26">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indexed="8"/>
      <name val="Arial"/>
      <family val="2"/>
    </font>
    <font>
      <b/>
      <sz val="10"/>
      <color indexed="8"/>
      <name val="Arial"/>
      <family val="2"/>
    </font>
    <font>
      <sz val="10"/>
      <color theme="1"/>
      <name val="Arial"/>
      <family val="2"/>
    </font>
    <font>
      <b/>
      <sz val="10"/>
      <color theme="1"/>
      <name val="Arial"/>
      <family val="2"/>
    </font>
    <font>
      <b/>
      <sz val="10"/>
      <name val="Arial"/>
      <family val="2"/>
    </font>
    <font>
      <sz val="11"/>
      <name val="Calibri"/>
      <family val="2"/>
      <scheme val="minor"/>
    </font>
    <font>
      <i/>
      <sz val="9"/>
      <name val="Arial"/>
      <family val="2"/>
    </font>
    <font>
      <i/>
      <sz val="10"/>
      <name val="Arial"/>
      <family val="2"/>
    </font>
    <font>
      <i/>
      <sz val="11"/>
      <color theme="1"/>
      <name val="Calibri"/>
      <family val="2"/>
      <scheme val="minor"/>
    </font>
    <font>
      <sz val="10"/>
      <name val="Calibri"/>
      <family val="2"/>
      <scheme val="minor"/>
    </font>
    <font>
      <sz val="11"/>
      <color indexed="8"/>
      <name val="Calibri"/>
      <family val="2"/>
    </font>
    <font>
      <b/>
      <sz val="10"/>
      <name val="Calibri"/>
      <family val="2"/>
      <scheme val="minor"/>
    </font>
    <font>
      <sz val="11"/>
      <name val="Arial"/>
      <family val="2"/>
    </font>
    <font>
      <sz val="10"/>
      <color theme="1"/>
      <name val="Verdana"/>
      <family val="2"/>
    </font>
    <font>
      <b/>
      <sz val="10"/>
      <color theme="1"/>
      <name val="Verdana"/>
      <family val="2"/>
    </font>
    <font>
      <sz val="11"/>
      <color rgb="FF000000"/>
      <name val="Aptos Narrow"/>
      <family val="2"/>
    </font>
    <font>
      <sz val="8"/>
      <name val="Arial"/>
      <family val="2"/>
    </font>
    <font>
      <sz val="10"/>
      <color theme="0"/>
      <name val="Arial"/>
      <family val="2"/>
    </font>
    <font>
      <sz val="11"/>
      <name val="Calibri"/>
      <family val="2"/>
    </font>
    <font>
      <sz val="10"/>
      <color theme="1"/>
      <name val="Calibri"/>
      <family val="2"/>
      <scheme val="minor"/>
    </font>
    <font>
      <b/>
      <sz val="14"/>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2" tint="-9.9978637043366805E-2"/>
        <bgColor indexed="64"/>
      </patternFill>
    </fill>
    <fill>
      <patternFill patternType="lightDown">
        <bgColor theme="2" tint="-9.9948118533890809E-2"/>
      </patternFill>
    </fill>
  </fills>
  <borders count="50">
    <border>
      <left/>
      <right/>
      <top/>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style="double">
        <color indexed="64"/>
      </left>
      <right style="double">
        <color indexed="64"/>
      </right>
      <top/>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double">
        <color indexed="64"/>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thin">
        <color indexed="64"/>
      </right>
      <top/>
      <bottom/>
      <diagonal/>
    </border>
    <border>
      <left style="double">
        <color indexed="64"/>
      </left>
      <right style="thin">
        <color indexed="64"/>
      </right>
      <top style="thin">
        <color indexed="31"/>
      </top>
      <bottom style="thin">
        <color indexed="31"/>
      </bottom>
      <diagonal/>
    </border>
    <border>
      <left style="double">
        <color indexed="64"/>
      </left>
      <right style="thin">
        <color indexed="64"/>
      </right>
      <top style="double">
        <color indexed="64"/>
      </top>
      <bottom/>
      <diagonal/>
    </border>
    <border>
      <left/>
      <right style="thin">
        <color indexed="64"/>
      </right>
      <top/>
      <bottom style="thin">
        <color indexed="64"/>
      </bottom>
      <diagonal/>
    </border>
    <border>
      <left/>
      <right/>
      <top/>
      <bottom style="thin">
        <color indexed="64"/>
      </bottom>
      <diagonal/>
    </border>
    <border>
      <left style="double">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double">
        <color indexed="64"/>
      </left>
      <right/>
      <top style="thin">
        <color indexed="64"/>
      </top>
      <bottom/>
      <diagonal/>
    </border>
    <border>
      <left/>
      <right style="thin">
        <color indexed="64"/>
      </right>
      <top style="double">
        <color indexed="64"/>
      </top>
      <bottom/>
      <diagonal/>
    </border>
    <border>
      <left style="thin">
        <color indexed="64"/>
      </left>
      <right/>
      <top style="thin">
        <color indexed="64"/>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double">
        <color indexed="64"/>
      </right>
      <top style="double">
        <color indexed="64"/>
      </top>
      <bottom style="double">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style="thin">
        <color rgb="FF000000"/>
      </right>
      <top/>
      <bottom style="thin">
        <color rgb="FF000000"/>
      </bottom>
      <diagonal/>
    </border>
    <border>
      <left style="double">
        <color rgb="FF000000"/>
      </left>
      <right/>
      <top/>
      <bottom style="thin">
        <color rgb="FF000000"/>
      </bottom>
      <diagonal/>
    </border>
    <border>
      <left style="double">
        <color rgb="FF000000"/>
      </left>
      <right style="double">
        <color rgb="FF000000"/>
      </right>
      <top/>
      <bottom style="double">
        <color rgb="FF000000"/>
      </bottom>
      <diagonal/>
    </border>
    <border>
      <left/>
      <right style="thin">
        <color rgb="FF000000"/>
      </right>
      <top/>
      <bottom/>
      <diagonal/>
    </border>
    <border>
      <left style="double">
        <color rgb="FF000000"/>
      </left>
      <right/>
      <top/>
      <bottom/>
      <diagonal/>
    </border>
    <border>
      <left style="double">
        <color rgb="FF000000"/>
      </left>
      <right style="double">
        <color rgb="FF000000"/>
      </right>
      <top/>
      <bottom/>
      <diagonal/>
    </border>
    <border>
      <left/>
      <right style="thin">
        <color rgb="FF000000"/>
      </right>
      <top style="double">
        <color rgb="FF000000"/>
      </top>
      <bottom/>
      <diagonal/>
    </border>
    <border>
      <left style="double">
        <color rgb="FF000000"/>
      </left>
      <right/>
      <top style="double">
        <color rgb="FF000000"/>
      </top>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style="double">
        <color rgb="FF000000"/>
      </left>
      <right/>
      <top style="double">
        <color rgb="FF000000"/>
      </top>
      <bottom style="double">
        <color rgb="FF000000"/>
      </bottom>
      <diagonal/>
    </border>
    <border>
      <left style="thin">
        <color indexed="64"/>
      </left>
      <right style="thin">
        <color indexed="64"/>
      </right>
      <top style="thin">
        <color indexed="64"/>
      </top>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Protection="0"/>
    <xf numFmtId="0" fontId="1" fillId="0" borderId="0"/>
    <xf numFmtId="0" fontId="14" fillId="0" borderId="0"/>
    <xf numFmtId="0" fontId="3" fillId="0" borderId="0"/>
    <xf numFmtId="0" fontId="17" fillId="0" borderId="0"/>
    <xf numFmtId="0" fontId="3" fillId="0" borderId="0"/>
    <xf numFmtId="169" fontId="3" fillId="0" borderId="0" applyFont="0" applyFill="0" applyBorder="0" applyAlignment="0" applyProtection="0"/>
    <xf numFmtId="0" fontId="3" fillId="0" borderId="0"/>
    <xf numFmtId="0" fontId="25" fillId="0" borderId="0" applyNumberFormat="0" applyFill="0" applyBorder="0" applyAlignment="0" applyProtection="0"/>
  </cellStyleXfs>
  <cellXfs count="432">
    <xf numFmtId="0" fontId="0" fillId="0" borderId="0" xfId="0"/>
    <xf numFmtId="0" fontId="3" fillId="2" borderId="1" xfId="3" applyFont="1" applyFill="1" applyBorder="1" applyAlignment="1">
      <alignment horizontal="left"/>
    </xf>
    <xf numFmtId="165" fontId="3" fillId="2" borderId="0" xfId="1" applyNumberFormat="1" applyFont="1" applyFill="1" applyBorder="1" applyAlignment="1">
      <alignment horizontal="right" vertical="center"/>
    </xf>
    <xf numFmtId="165" fontId="3" fillId="2" borderId="7" xfId="1" applyNumberFormat="1" applyFont="1" applyFill="1" applyBorder="1" applyAlignment="1">
      <alignment horizontal="right" vertical="center"/>
    </xf>
    <xf numFmtId="166" fontId="4" fillId="2" borderId="5" xfId="3" applyNumberFormat="1" applyFont="1" applyFill="1" applyBorder="1" applyAlignment="1">
      <alignment horizontal="left" vertical="center"/>
    </xf>
    <xf numFmtId="0" fontId="3" fillId="2" borderId="5" xfId="3" applyFont="1" applyFill="1" applyBorder="1" applyAlignment="1">
      <alignment horizontal="left"/>
    </xf>
    <xf numFmtId="165" fontId="0" fillId="0" borderId="0" xfId="1" applyNumberFormat="1" applyFont="1" applyBorder="1" applyAlignment="1"/>
    <xf numFmtId="166" fontId="5" fillId="2" borderId="5" xfId="3" applyNumberFormat="1" applyFont="1" applyFill="1" applyBorder="1" applyAlignment="1">
      <alignment horizontal="left" vertical="center"/>
    </xf>
    <xf numFmtId="0" fontId="0" fillId="0" borderId="0" xfId="0" applyBorder="1"/>
    <xf numFmtId="165" fontId="3" fillId="2" borderId="0" xfId="1" applyNumberFormat="1" applyFont="1" applyFill="1" applyBorder="1" applyAlignment="1">
      <alignment horizontal="right"/>
    </xf>
    <xf numFmtId="165" fontId="3" fillId="2" borderId="7" xfId="1" applyNumberFormat="1" applyFont="1" applyFill="1" applyBorder="1" applyAlignment="1">
      <alignment horizontal="right"/>
    </xf>
    <xf numFmtId="165" fontId="8" fillId="2" borderId="9" xfId="1" applyNumberFormat="1" applyFont="1" applyFill="1" applyBorder="1" applyAlignment="1"/>
    <xf numFmtId="165" fontId="8" fillId="2" borderId="10" xfId="1" applyNumberFormat="1" applyFont="1" applyFill="1" applyBorder="1" applyAlignment="1"/>
    <xf numFmtId="0" fontId="8" fillId="2" borderId="12" xfId="3" applyFont="1" applyFill="1" applyBorder="1" applyAlignment="1"/>
    <xf numFmtId="0" fontId="8" fillId="2" borderId="13" xfId="3" applyFont="1" applyFill="1" applyBorder="1" applyAlignment="1"/>
    <xf numFmtId="166" fontId="5" fillId="2" borderId="14" xfId="3" applyNumberFormat="1" applyFont="1" applyFill="1" applyBorder="1" applyAlignment="1">
      <alignment horizontal="center" vertical="center"/>
    </xf>
    <xf numFmtId="168" fontId="0" fillId="0" borderId="0" xfId="2" applyNumberFormat="1" applyFont="1"/>
    <xf numFmtId="0" fontId="0" fillId="0" borderId="0" xfId="0" applyFont="1"/>
    <xf numFmtId="0" fontId="0" fillId="0" borderId="5" xfId="0" applyFont="1" applyBorder="1"/>
    <xf numFmtId="0" fontId="2" fillId="0" borderId="14" xfId="0" applyFont="1" applyBorder="1"/>
    <xf numFmtId="165" fontId="3" fillId="2" borderId="18" xfId="1" applyNumberFormat="1" applyFont="1" applyFill="1" applyBorder="1" applyAlignment="1">
      <alignment horizontal="left" vertical="center"/>
    </xf>
    <xf numFmtId="165" fontId="3" fillId="2" borderId="19" xfId="1" applyNumberFormat="1" applyFont="1" applyFill="1" applyBorder="1" applyAlignment="1">
      <alignment horizontal="left" vertical="center"/>
    </xf>
    <xf numFmtId="165" fontId="3" fillId="2" borderId="20" xfId="1" applyNumberFormat="1" applyFont="1" applyFill="1" applyBorder="1" applyAlignment="1">
      <alignment horizontal="left" vertical="center"/>
    </xf>
    <xf numFmtId="166" fontId="4" fillId="2" borderId="1" xfId="3" applyNumberFormat="1" applyFont="1" applyFill="1" applyBorder="1" applyAlignment="1">
      <alignment horizontal="left" vertical="center"/>
    </xf>
    <xf numFmtId="165" fontId="3" fillId="2" borderId="21" xfId="1" applyNumberFormat="1" applyFont="1" applyFill="1" applyBorder="1" applyAlignment="1">
      <alignment horizontal="left" vertical="center"/>
    </xf>
    <xf numFmtId="165" fontId="3" fillId="2" borderId="0" xfId="1" applyNumberFormat="1" applyFont="1" applyFill="1" applyBorder="1" applyAlignment="1">
      <alignment horizontal="left" vertical="center"/>
    </xf>
    <xf numFmtId="165" fontId="3" fillId="2" borderId="7" xfId="1" applyNumberFormat="1" applyFont="1" applyFill="1" applyBorder="1" applyAlignment="1">
      <alignment horizontal="left" vertical="center"/>
    </xf>
    <xf numFmtId="3" fontId="3" fillId="2" borderId="21" xfId="3" applyNumberFormat="1" applyFont="1" applyFill="1" applyBorder="1" applyAlignment="1">
      <alignment horizontal="left"/>
    </xf>
    <xf numFmtId="3" fontId="3" fillId="2" borderId="0" xfId="3" applyNumberFormat="1" applyFont="1" applyFill="1" applyBorder="1" applyAlignment="1">
      <alignment horizontal="left"/>
    </xf>
    <xf numFmtId="3" fontId="3" fillId="2" borderId="7" xfId="3" applyNumberFormat="1" applyFont="1" applyFill="1" applyBorder="1" applyAlignment="1">
      <alignment horizontal="left"/>
    </xf>
    <xf numFmtId="165" fontId="3" fillId="2" borderId="22" xfId="1" applyNumberFormat="1" applyFont="1" applyFill="1" applyBorder="1" applyAlignment="1">
      <alignment horizontal="left" vertical="center"/>
    </xf>
    <xf numFmtId="165" fontId="3" fillId="2" borderId="23" xfId="1" applyNumberFormat="1" applyFont="1" applyFill="1" applyBorder="1" applyAlignment="1">
      <alignment horizontal="left" vertical="center"/>
    </xf>
    <xf numFmtId="165" fontId="3" fillId="2" borderId="24" xfId="1" applyNumberFormat="1" applyFont="1" applyFill="1" applyBorder="1" applyAlignment="1">
      <alignment horizontal="left" vertical="center"/>
    </xf>
    <xf numFmtId="166" fontId="5" fillId="2" borderId="14" xfId="3" applyNumberFormat="1" applyFont="1" applyFill="1" applyBorder="1" applyAlignment="1">
      <alignment horizontal="left" vertical="center"/>
    </xf>
    <xf numFmtId="165" fontId="3" fillId="2" borderId="21" xfId="1" applyNumberFormat="1" applyFont="1" applyFill="1" applyBorder="1" applyAlignment="1">
      <alignment horizontal="left"/>
    </xf>
    <xf numFmtId="165" fontId="3" fillId="2" borderId="0" xfId="1" applyNumberFormat="1" applyFont="1" applyFill="1" applyBorder="1" applyAlignment="1">
      <alignment horizontal="left"/>
    </xf>
    <xf numFmtId="165" fontId="3" fillId="2" borderId="7" xfId="1" applyNumberFormat="1" applyFont="1" applyFill="1" applyBorder="1" applyAlignment="1">
      <alignment horizontal="left"/>
    </xf>
    <xf numFmtId="165" fontId="8" fillId="2" borderId="21" xfId="1" applyNumberFormat="1" applyFont="1" applyFill="1" applyBorder="1" applyAlignment="1">
      <alignment horizontal="left"/>
    </xf>
    <xf numFmtId="165" fontId="8" fillId="2" borderId="0" xfId="1" applyNumberFormat="1" applyFont="1" applyFill="1" applyBorder="1" applyAlignment="1">
      <alignment horizontal="left"/>
    </xf>
    <xf numFmtId="165" fontId="8" fillId="2" borderId="7" xfId="1" applyNumberFormat="1" applyFont="1" applyFill="1" applyBorder="1" applyAlignment="1">
      <alignment horizontal="left"/>
    </xf>
    <xf numFmtId="165" fontId="3" fillId="2" borderId="25" xfId="1" applyNumberFormat="1" applyFont="1" applyFill="1" applyBorder="1" applyAlignment="1">
      <alignment horizontal="left"/>
    </xf>
    <xf numFmtId="165" fontId="3" fillId="2" borderId="9" xfId="1" applyNumberFormat="1" applyFont="1" applyFill="1" applyBorder="1" applyAlignment="1">
      <alignment horizontal="left"/>
    </xf>
    <xf numFmtId="165" fontId="3" fillId="2" borderId="10" xfId="1" applyNumberFormat="1" applyFont="1" applyFill="1" applyBorder="1" applyAlignment="1">
      <alignment horizontal="left"/>
    </xf>
    <xf numFmtId="0" fontId="8" fillId="2" borderId="2" xfId="3" applyFont="1" applyFill="1" applyBorder="1" applyAlignment="1">
      <alignment horizontal="left"/>
    </xf>
    <xf numFmtId="0" fontId="8" fillId="2" borderId="3" xfId="3" applyFont="1" applyFill="1" applyBorder="1" applyAlignment="1">
      <alignment horizontal="left"/>
    </xf>
    <xf numFmtId="0" fontId="8" fillId="2" borderId="4" xfId="3" applyFont="1" applyFill="1" applyBorder="1" applyAlignment="1">
      <alignment horizontal="left"/>
    </xf>
    <xf numFmtId="166" fontId="5" fillId="2" borderId="10" xfId="3" applyNumberFormat="1" applyFont="1" applyFill="1" applyBorder="1" applyAlignment="1">
      <alignment horizontal="left" vertical="center"/>
    </xf>
    <xf numFmtId="0" fontId="8" fillId="2" borderId="8" xfId="3" applyFont="1" applyFill="1" applyBorder="1" applyAlignment="1">
      <alignment horizontal="left"/>
    </xf>
    <xf numFmtId="0" fontId="8" fillId="2" borderId="9" xfId="3" applyFont="1" applyFill="1" applyBorder="1" applyAlignment="1">
      <alignment horizontal="left"/>
    </xf>
    <xf numFmtId="0" fontId="8" fillId="2" borderId="10" xfId="3" applyFont="1" applyFill="1" applyBorder="1" applyAlignment="1">
      <alignment horizontal="left"/>
    </xf>
    <xf numFmtId="166" fontId="5" fillId="2" borderId="26" xfId="3" applyNumberFormat="1" applyFont="1" applyFill="1" applyBorder="1" applyAlignment="1">
      <alignment horizontal="left" vertical="center"/>
    </xf>
    <xf numFmtId="9" fontId="0" fillId="0" borderId="0" xfId="2" applyFont="1"/>
    <xf numFmtId="0" fontId="0" fillId="0" borderId="0" xfId="0" applyAlignment="1"/>
    <xf numFmtId="0" fontId="0" fillId="0" borderId="27" xfId="0" applyBorder="1"/>
    <xf numFmtId="3" fontId="3" fillId="2" borderId="0" xfId="0" applyNumberFormat="1" applyFont="1" applyFill="1" applyBorder="1"/>
    <xf numFmtId="3" fontId="10" fillId="2" borderId="0" xfId="0" applyNumberFormat="1" applyFont="1" applyFill="1" applyBorder="1"/>
    <xf numFmtId="3" fontId="8" fillId="2" borderId="0" xfId="0" applyNumberFormat="1" applyFont="1" applyFill="1" applyBorder="1" applyAlignment="1">
      <alignment horizontal="right" wrapText="1"/>
    </xf>
    <xf numFmtId="3" fontId="8" fillId="2" borderId="18" xfId="0" applyNumberFormat="1" applyFont="1" applyFill="1" applyBorder="1"/>
    <xf numFmtId="3" fontId="8" fillId="2" borderId="19" xfId="0" applyNumberFormat="1" applyFont="1" applyFill="1" applyBorder="1"/>
    <xf numFmtId="3" fontId="8" fillId="2" borderId="20" xfId="0" applyNumberFormat="1" applyFont="1" applyFill="1" applyBorder="1"/>
    <xf numFmtId="3" fontId="3" fillId="2" borderId="21" xfId="0" applyNumberFormat="1" applyFont="1" applyFill="1" applyBorder="1"/>
    <xf numFmtId="3" fontId="3" fillId="2" borderId="7" xfId="0" applyNumberFormat="1" applyFont="1" applyFill="1" applyBorder="1"/>
    <xf numFmtId="3" fontId="10" fillId="2" borderId="21" xfId="0" applyNumberFormat="1" applyFont="1" applyFill="1" applyBorder="1"/>
    <xf numFmtId="3" fontId="10" fillId="2" borderId="7" xfId="0" applyNumberFormat="1" applyFont="1" applyFill="1" applyBorder="1"/>
    <xf numFmtId="0" fontId="8" fillId="2" borderId="5" xfId="0" applyFont="1" applyFill="1" applyBorder="1" applyAlignment="1">
      <alignment horizontal="left"/>
    </xf>
    <xf numFmtId="3" fontId="8" fillId="2" borderId="25" xfId="0" applyNumberFormat="1" applyFont="1" applyFill="1" applyBorder="1" applyAlignment="1">
      <alignment horizontal="right" wrapText="1"/>
    </xf>
    <xf numFmtId="3" fontId="8" fillId="2" borderId="9" xfId="0" applyNumberFormat="1" applyFont="1" applyFill="1" applyBorder="1" applyAlignment="1">
      <alignment horizontal="right" wrapText="1"/>
    </xf>
    <xf numFmtId="3" fontId="8" fillId="2" borderId="10" xfId="0" applyNumberFormat="1" applyFont="1" applyFill="1" applyBorder="1" applyAlignment="1">
      <alignment horizontal="right" wrapText="1"/>
    </xf>
    <xf numFmtId="0" fontId="8" fillId="2" borderId="28"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right" wrapText="1"/>
    </xf>
    <xf numFmtId="165" fontId="0" fillId="0" borderId="18" xfId="1" applyNumberFormat="1" applyFont="1" applyBorder="1"/>
    <xf numFmtId="165" fontId="0" fillId="0" borderId="19" xfId="1" applyNumberFormat="1" applyFont="1" applyBorder="1"/>
    <xf numFmtId="165" fontId="0" fillId="4" borderId="19" xfId="1" applyNumberFormat="1" applyFont="1" applyFill="1" applyBorder="1"/>
    <xf numFmtId="165" fontId="0" fillId="0" borderId="21" xfId="1" applyNumberFormat="1" applyFont="1" applyBorder="1"/>
    <xf numFmtId="165" fontId="0" fillId="0" borderId="0" xfId="1" applyNumberFormat="1" applyFont="1" applyBorder="1"/>
    <xf numFmtId="165" fontId="0" fillId="4" borderId="0" xfId="1" applyNumberFormat="1" applyFont="1" applyFill="1" applyBorder="1"/>
    <xf numFmtId="165" fontId="0" fillId="0" borderId="22" xfId="1" applyNumberFormat="1" applyFont="1" applyBorder="1"/>
    <xf numFmtId="165" fontId="0" fillId="0" borderId="23" xfId="1" applyNumberFormat="1" applyFont="1" applyBorder="1"/>
    <xf numFmtId="0" fontId="12" fillId="0" borderId="0" xfId="0" applyFont="1"/>
    <xf numFmtId="165" fontId="0" fillId="0" borderId="0" xfId="1" applyNumberFormat="1" applyFont="1" applyFill="1" applyBorder="1"/>
    <xf numFmtId="0" fontId="3" fillId="2" borderId="1" xfId="3" applyFont="1" applyFill="1" applyBorder="1" applyAlignment="1">
      <alignment horizontal="center"/>
    </xf>
    <xf numFmtId="0" fontId="3" fillId="2" borderId="5" xfId="3" applyFont="1" applyFill="1" applyBorder="1" applyAlignment="1">
      <alignment horizontal="center"/>
    </xf>
    <xf numFmtId="0" fontId="9" fillId="0" borderId="0" xfId="0" applyFont="1" applyFill="1"/>
    <xf numFmtId="165" fontId="13" fillId="0" borderId="18" xfId="1" applyNumberFormat="1" applyFont="1" applyFill="1" applyBorder="1"/>
    <xf numFmtId="3" fontId="13" fillId="0" borderId="19" xfId="5" applyNumberFormat="1" applyFont="1" applyFill="1" applyBorder="1"/>
    <xf numFmtId="0" fontId="13" fillId="0" borderId="19" xfId="5" applyFont="1" applyFill="1" applyBorder="1"/>
    <xf numFmtId="3" fontId="13" fillId="0" borderId="20" xfId="5" applyNumberFormat="1" applyFont="1" applyFill="1" applyBorder="1"/>
    <xf numFmtId="1" fontId="15" fillId="0" borderId="1" xfId="5" applyNumberFormat="1" applyFont="1" applyFill="1" applyBorder="1" applyAlignment="1">
      <alignment horizontal="center" vertical="center"/>
    </xf>
    <xf numFmtId="165" fontId="13" fillId="0" borderId="21" xfId="1" applyNumberFormat="1" applyFont="1" applyFill="1" applyBorder="1"/>
    <xf numFmtId="3" fontId="13" fillId="0" borderId="0" xfId="5" applyNumberFormat="1" applyFont="1" applyFill="1" applyBorder="1"/>
    <xf numFmtId="3" fontId="13" fillId="0" borderId="7" xfId="5" applyNumberFormat="1" applyFont="1" applyFill="1" applyBorder="1"/>
    <xf numFmtId="1" fontId="15" fillId="0" borderId="5" xfId="5" applyNumberFormat="1" applyFont="1" applyFill="1" applyBorder="1" applyAlignment="1">
      <alignment horizontal="center" vertical="center"/>
    </xf>
    <xf numFmtId="1" fontId="15" fillId="0" borderId="5" xfId="5" applyNumberFormat="1" applyFont="1" applyFill="1" applyBorder="1" applyAlignment="1">
      <alignment horizontal="center" vertical="center" wrapText="1"/>
    </xf>
    <xf numFmtId="3" fontId="13" fillId="0" borderId="0" xfId="5" applyNumberFormat="1" applyFont="1" applyFill="1" applyBorder="1" applyProtection="1">
      <protection locked="0"/>
    </xf>
    <xf numFmtId="165" fontId="13" fillId="0" borderId="25" xfId="1" applyNumberFormat="1" applyFont="1" applyFill="1" applyBorder="1"/>
    <xf numFmtId="3" fontId="13" fillId="0" borderId="9" xfId="5" applyNumberFormat="1" applyFont="1" applyFill="1" applyBorder="1" applyAlignment="1" applyProtection="1">
      <alignment horizontal="right"/>
      <protection locked="0"/>
    </xf>
    <xf numFmtId="3" fontId="13" fillId="0" borderId="10" xfId="5" applyNumberFormat="1" applyFont="1" applyFill="1" applyBorder="1" applyAlignment="1" applyProtection="1">
      <protection locked="0"/>
    </xf>
    <xf numFmtId="1" fontId="15" fillId="0" borderId="5" xfId="5" applyNumberFormat="1" applyFont="1" applyFill="1" applyBorder="1" applyAlignment="1" applyProtection="1">
      <alignment horizontal="center" vertical="center"/>
      <protection locked="0"/>
    </xf>
    <xf numFmtId="0" fontId="13" fillId="0" borderId="2" xfId="5" applyFont="1" applyFill="1" applyBorder="1" applyAlignment="1" applyProtection="1">
      <alignment vertical="center"/>
      <protection locked="0"/>
    </xf>
    <xf numFmtId="0" fontId="13" fillId="0" borderId="3" xfId="5" applyFont="1" applyFill="1" applyBorder="1" applyAlignment="1" applyProtection="1">
      <alignment vertical="center"/>
      <protection locked="0"/>
    </xf>
    <xf numFmtId="0" fontId="13" fillId="0" borderId="4" xfId="5" applyFont="1" applyFill="1" applyBorder="1" applyAlignment="1" applyProtection="1">
      <alignment vertical="center"/>
      <protection locked="0"/>
    </xf>
    <xf numFmtId="0" fontId="13" fillId="0" borderId="10" xfId="5" applyFont="1" applyFill="1" applyBorder="1" applyAlignment="1" applyProtection="1">
      <alignment horizontal="right" vertical="center"/>
      <protection locked="0"/>
    </xf>
    <xf numFmtId="0" fontId="13" fillId="0" borderId="0" xfId="5" applyFont="1" applyFill="1" applyBorder="1" applyAlignment="1">
      <alignment horizontal="right"/>
    </xf>
    <xf numFmtId="165" fontId="0" fillId="0" borderId="20" xfId="1" applyNumberFormat="1" applyFont="1" applyBorder="1"/>
    <xf numFmtId="9" fontId="0" fillId="0" borderId="0" xfId="2" applyFont="1" applyAlignment="1"/>
    <xf numFmtId="166" fontId="5" fillId="2" borderId="5" xfId="3" applyNumberFormat="1" applyFont="1" applyFill="1" applyBorder="1" applyAlignment="1">
      <alignment horizontal="center" vertical="center"/>
    </xf>
    <xf numFmtId="165" fontId="8" fillId="2" borderId="25" xfId="1" applyNumberFormat="1" applyFont="1" applyFill="1" applyBorder="1" applyAlignment="1"/>
    <xf numFmtId="166" fontId="4" fillId="2" borderId="5" xfId="3" applyNumberFormat="1" applyFont="1" applyFill="1" applyBorder="1" applyAlignment="1">
      <alignment horizontal="center" vertical="center"/>
    </xf>
    <xf numFmtId="165" fontId="3" fillId="2" borderId="21" xfId="1" applyNumberFormat="1" applyFont="1" applyFill="1" applyBorder="1" applyAlignment="1">
      <alignment horizontal="right" vertical="center"/>
    </xf>
    <xf numFmtId="0" fontId="3" fillId="2" borderId="0" xfId="6" applyFont="1" applyFill="1"/>
    <xf numFmtId="0" fontId="3" fillId="2" borderId="0" xfId="6" applyFont="1" applyFill="1" applyAlignment="1">
      <alignment horizontal="center" vertical="center"/>
    </xf>
    <xf numFmtId="1" fontId="3" fillId="2" borderId="18" xfId="6" applyNumberFormat="1" applyFont="1" applyFill="1" applyBorder="1" applyAlignment="1">
      <alignment horizontal="right" vertical="center" indent="1"/>
    </xf>
    <xf numFmtId="1" fontId="3" fillId="2" borderId="19" xfId="6" applyNumberFormat="1" applyFont="1" applyFill="1" applyBorder="1" applyAlignment="1">
      <alignment horizontal="right" vertical="center" indent="1"/>
    </xf>
    <xf numFmtId="1" fontId="6" fillId="2" borderId="19" xfId="6" applyNumberFormat="1" applyFont="1" applyFill="1" applyBorder="1" applyAlignment="1">
      <alignment horizontal="right" vertical="center" indent="1"/>
    </xf>
    <xf numFmtId="0" fontId="3" fillId="2" borderId="2" xfId="6" applyFont="1" applyFill="1" applyBorder="1" applyAlignment="1">
      <alignment horizontal="center" vertical="center"/>
    </xf>
    <xf numFmtId="0" fontId="3" fillId="2" borderId="4" xfId="6" applyFont="1" applyFill="1" applyBorder="1" applyAlignment="1">
      <alignment horizontal="left" vertical="center" wrapText="1"/>
    </xf>
    <xf numFmtId="1" fontId="3" fillId="2" borderId="21" xfId="6" applyNumberFormat="1" applyFont="1" applyFill="1" applyBorder="1" applyAlignment="1">
      <alignment horizontal="right" vertical="center" indent="1"/>
    </xf>
    <xf numFmtId="1" fontId="3" fillId="2" borderId="0" xfId="6" applyNumberFormat="1" applyFont="1" applyFill="1" applyBorder="1" applyAlignment="1">
      <alignment horizontal="right" vertical="center" indent="1"/>
    </xf>
    <xf numFmtId="1" fontId="6" fillId="2" borderId="0" xfId="6" applyNumberFormat="1" applyFont="1" applyFill="1" applyBorder="1" applyAlignment="1">
      <alignment horizontal="right" vertical="center" indent="1"/>
    </xf>
    <xf numFmtId="0" fontId="3" fillId="2" borderId="6" xfId="6" applyFont="1" applyFill="1" applyBorder="1" applyAlignment="1">
      <alignment horizontal="center" vertical="center"/>
    </xf>
    <xf numFmtId="0" fontId="3" fillId="2" borderId="7" xfId="6" applyFont="1" applyFill="1" applyBorder="1" applyAlignment="1">
      <alignment horizontal="left" vertical="center" wrapText="1"/>
    </xf>
    <xf numFmtId="1" fontId="3" fillId="2" borderId="23" xfId="6" applyNumberFormat="1" applyFont="1" applyFill="1" applyBorder="1" applyAlignment="1">
      <alignment horizontal="right" vertical="center" indent="1"/>
    </xf>
    <xf numFmtId="1" fontId="6" fillId="2" borderId="23" xfId="6" applyNumberFormat="1" applyFont="1" applyFill="1" applyBorder="1" applyAlignment="1">
      <alignment horizontal="right" vertical="center" indent="1"/>
    </xf>
    <xf numFmtId="0" fontId="3" fillId="2" borderId="8" xfId="6" applyFont="1" applyFill="1" applyBorder="1" applyAlignment="1">
      <alignment horizontal="center" vertical="center"/>
    </xf>
    <xf numFmtId="0" fontId="3" fillId="2" borderId="10" xfId="6" applyFont="1" applyFill="1" applyBorder="1" applyAlignment="1">
      <alignment horizontal="left" vertical="top" wrapText="1"/>
    </xf>
    <xf numFmtId="0" fontId="3" fillId="2" borderId="4" xfId="6" applyFont="1" applyFill="1" applyBorder="1" applyAlignment="1">
      <alignment horizontal="left" vertical="center"/>
    </xf>
    <xf numFmtId="0" fontId="3" fillId="2" borderId="7" xfId="6" applyFont="1" applyFill="1" applyBorder="1" applyAlignment="1">
      <alignment horizontal="left" vertical="center"/>
    </xf>
    <xf numFmtId="0" fontId="3" fillId="2" borderId="10" xfId="6" applyFont="1" applyFill="1" applyBorder="1" applyAlignment="1">
      <alignment horizontal="left" vertical="center"/>
    </xf>
    <xf numFmtId="0" fontId="3" fillId="2" borderId="28" xfId="6" applyFont="1" applyFill="1" applyBorder="1" applyAlignment="1">
      <alignment horizontal="center"/>
    </xf>
    <xf numFmtId="0" fontId="3" fillId="2" borderId="12" xfId="6" applyFont="1" applyFill="1" applyBorder="1" applyAlignment="1">
      <alignment horizontal="center"/>
    </xf>
    <xf numFmtId="0" fontId="3" fillId="2" borderId="13" xfId="6" applyFont="1" applyFill="1" applyBorder="1" applyAlignment="1">
      <alignment horizontal="center"/>
    </xf>
    <xf numFmtId="0" fontId="3" fillId="2" borderId="33" xfId="6" applyFont="1" applyFill="1" applyBorder="1" applyAlignment="1">
      <alignment horizontal="center" vertical="center"/>
    </xf>
    <xf numFmtId="0" fontId="3" fillId="2" borderId="34" xfId="6" applyFont="1" applyFill="1" applyBorder="1" applyAlignment="1">
      <alignment horizontal="center"/>
    </xf>
    <xf numFmtId="0" fontId="8" fillId="2" borderId="0" xfId="6" applyFont="1" applyFill="1" applyAlignment="1">
      <alignment horizontal="left"/>
    </xf>
    <xf numFmtId="0" fontId="8" fillId="2" borderId="0" xfId="6" applyFont="1" applyFill="1" applyAlignment="1">
      <alignment horizontal="center" vertical="center"/>
    </xf>
    <xf numFmtId="0" fontId="3" fillId="2" borderId="0" xfId="6" applyFont="1" applyFill="1" applyAlignment="1">
      <alignment horizontal="left" vertical="center"/>
    </xf>
    <xf numFmtId="11" fontId="0" fillId="0" borderId="0" xfId="0" applyNumberFormat="1"/>
    <xf numFmtId="165" fontId="1" fillId="2" borderId="18" xfId="1" applyNumberFormat="1" applyFont="1" applyFill="1" applyBorder="1"/>
    <xf numFmtId="165" fontId="1" fillId="2" borderId="19" xfId="1" applyNumberFormat="1" applyFont="1" applyFill="1" applyBorder="1"/>
    <xf numFmtId="0" fontId="0" fillId="0" borderId="2" xfId="0" applyBorder="1"/>
    <xf numFmtId="165" fontId="16" fillId="2" borderId="0" xfId="1" applyNumberFormat="1" applyFont="1" applyFill="1" applyBorder="1"/>
    <xf numFmtId="165" fontId="1" fillId="2" borderId="0" xfId="1" applyNumberFormat="1" applyFont="1" applyFill="1" applyBorder="1"/>
    <xf numFmtId="0" fontId="0" fillId="0" borderId="6" xfId="0" applyBorder="1"/>
    <xf numFmtId="0" fontId="0" fillId="0" borderId="7" xfId="0" applyBorder="1" applyAlignment="1">
      <alignment horizontal="center" vertical="center" wrapText="1"/>
    </xf>
    <xf numFmtId="165" fontId="16" fillId="2" borderId="23" xfId="1" applyNumberFormat="1" applyFont="1" applyFill="1" applyBorder="1"/>
    <xf numFmtId="165" fontId="1" fillId="2" borderId="23" xfId="1" applyNumberFormat="1" applyFont="1" applyFill="1" applyBorder="1"/>
    <xf numFmtId="0" fontId="0" fillId="0" borderId="8" xfId="0" applyBorder="1"/>
    <xf numFmtId="0" fontId="3" fillId="2" borderId="0" xfId="0" applyFont="1" applyFill="1"/>
    <xf numFmtId="0" fontId="8" fillId="2" borderId="12" xfId="0" applyFont="1" applyFill="1" applyBorder="1" applyAlignment="1">
      <alignment horizontal="center" vertical="center"/>
    </xf>
    <xf numFmtId="0" fontId="8" fillId="2" borderId="12" xfId="0" applyFont="1" applyFill="1" applyBorder="1" applyAlignment="1">
      <alignment horizontal="right" wrapText="1"/>
    </xf>
    <xf numFmtId="0" fontId="3" fillId="2" borderId="13" xfId="0" applyFont="1" applyFill="1" applyBorder="1"/>
    <xf numFmtId="1" fontId="0" fillId="0" borderId="18" xfId="0" applyNumberFormat="1" applyBorder="1"/>
    <xf numFmtId="1" fontId="0" fillId="0" borderId="19" xfId="0" applyNumberFormat="1" applyBorder="1"/>
    <xf numFmtId="0" fontId="0" fillId="0" borderId="1" xfId="0" applyBorder="1"/>
    <xf numFmtId="1" fontId="0" fillId="0" borderId="21" xfId="0" applyNumberFormat="1" applyBorder="1"/>
    <xf numFmtId="1" fontId="0" fillId="0" borderId="0" xfId="0" applyNumberFormat="1" applyBorder="1"/>
    <xf numFmtId="0" fontId="0" fillId="0" borderId="5" xfId="0" applyBorder="1"/>
    <xf numFmtId="0" fontId="0" fillId="0" borderId="14" xfId="0" applyBorder="1"/>
    <xf numFmtId="0" fontId="0" fillId="0" borderId="28"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17" fillId="0" borderId="0" xfId="7"/>
    <xf numFmtId="164" fontId="17" fillId="0" borderId="0" xfId="7" applyNumberFormat="1"/>
    <xf numFmtId="1" fontId="17" fillId="0" borderId="0" xfId="7" applyNumberFormat="1"/>
    <xf numFmtId="164" fontId="17" fillId="0" borderId="18" xfId="7" applyNumberFormat="1" applyBorder="1"/>
    <xf numFmtId="0" fontId="17" fillId="0" borderId="19" xfId="7" applyBorder="1"/>
    <xf numFmtId="1" fontId="17" fillId="0" borderId="19" xfId="7" applyNumberFormat="1" applyBorder="1"/>
    <xf numFmtId="0" fontId="17" fillId="0" borderId="20" xfId="7" applyBorder="1"/>
    <xf numFmtId="0" fontId="17" fillId="0" borderId="2" xfId="7" applyBorder="1"/>
    <xf numFmtId="0" fontId="17" fillId="0" borderId="3" xfId="7" applyBorder="1"/>
    <xf numFmtId="0" fontId="17" fillId="0" borderId="4" xfId="7" applyBorder="1"/>
    <xf numFmtId="164" fontId="17" fillId="0" borderId="21" xfId="7" applyNumberFormat="1" applyBorder="1"/>
    <xf numFmtId="0" fontId="17" fillId="0" borderId="0" xfId="7" applyBorder="1"/>
    <xf numFmtId="1" fontId="17" fillId="0" borderId="0" xfId="7" applyNumberFormat="1" applyBorder="1"/>
    <xf numFmtId="0" fontId="17" fillId="0" borderId="7" xfId="7" applyBorder="1"/>
    <xf numFmtId="0" fontId="17" fillId="0" borderId="6" xfId="7" applyBorder="1"/>
    <xf numFmtId="0" fontId="17" fillId="0" borderId="0" xfId="7" applyFill="1"/>
    <xf numFmtId="0" fontId="0" fillId="0" borderId="0" xfId="0" applyFill="1"/>
    <xf numFmtId="164" fontId="17" fillId="0" borderId="21" xfId="7" applyNumberFormat="1" applyFill="1" applyBorder="1"/>
    <xf numFmtId="0" fontId="17" fillId="0" borderId="0" xfId="7" applyFill="1" applyBorder="1"/>
    <xf numFmtId="1" fontId="17" fillId="0" borderId="0" xfId="7" applyNumberFormat="1" applyFill="1" applyBorder="1"/>
    <xf numFmtId="0" fontId="17" fillId="0" borderId="7" xfId="7" applyFill="1" applyBorder="1"/>
    <xf numFmtId="0" fontId="17" fillId="0" borderId="6" xfId="7" applyFill="1" applyBorder="1"/>
    <xf numFmtId="164" fontId="17" fillId="0" borderId="25" xfId="7" applyNumberFormat="1" applyBorder="1"/>
    <xf numFmtId="0" fontId="17" fillId="0" borderId="9" xfId="7" applyBorder="1"/>
    <xf numFmtId="1" fontId="17" fillId="0" borderId="9" xfId="7" applyNumberFormat="1" applyBorder="1"/>
    <xf numFmtId="0" fontId="17" fillId="0" borderId="10" xfId="7" applyBorder="1"/>
    <xf numFmtId="0" fontId="17" fillId="0" borderId="8" xfId="7" applyBorder="1"/>
    <xf numFmtId="164" fontId="18" fillId="0" borderId="28" xfId="7" applyNumberFormat="1" applyFont="1" applyBorder="1"/>
    <xf numFmtId="0" fontId="18" fillId="0" borderId="12" xfId="7" applyFont="1" applyBorder="1"/>
    <xf numFmtId="1" fontId="18" fillId="0" borderId="12" xfId="7" applyNumberFormat="1" applyFont="1" applyBorder="1"/>
    <xf numFmtId="0" fontId="18" fillId="0" borderId="13" xfId="7" applyFont="1" applyBorder="1"/>
    <xf numFmtId="164" fontId="17" fillId="0" borderId="19" xfId="7" applyNumberFormat="1" applyBorder="1"/>
    <xf numFmtId="0" fontId="17" fillId="0" borderId="29" xfId="7" applyBorder="1"/>
    <xf numFmtId="164" fontId="17" fillId="0" borderId="0" xfId="7" applyNumberFormat="1" applyBorder="1"/>
    <xf numFmtId="0" fontId="17" fillId="0" borderId="30" xfId="7" applyBorder="1"/>
    <xf numFmtId="0" fontId="19" fillId="0" borderId="0" xfId="7" applyFont="1"/>
    <xf numFmtId="164" fontId="17" fillId="0" borderId="0" xfId="7" applyNumberFormat="1" applyFill="1" applyBorder="1"/>
    <xf numFmtId="0" fontId="17" fillId="0" borderId="30" xfId="7" applyFill="1" applyBorder="1"/>
    <xf numFmtId="164" fontId="17" fillId="0" borderId="9" xfId="7" applyNumberFormat="1" applyBorder="1"/>
    <xf numFmtId="0" fontId="17" fillId="0" borderId="35" xfId="7" applyBorder="1"/>
    <xf numFmtId="0" fontId="18" fillId="0" borderId="0" xfId="7" applyFont="1"/>
    <xf numFmtId="164" fontId="18" fillId="0" borderId="12" xfId="7" applyNumberFormat="1" applyFont="1" applyBorder="1"/>
    <xf numFmtId="164" fontId="0" fillId="0" borderId="18" xfId="0" applyNumberFormat="1" applyBorder="1"/>
    <xf numFmtId="164" fontId="0" fillId="0" borderId="19" xfId="0" applyNumberFormat="1" applyBorder="1"/>
    <xf numFmtId="164" fontId="0" fillId="0" borderId="20" xfId="0" applyNumberFormat="1" applyBorder="1"/>
    <xf numFmtId="0" fontId="0" fillId="0" borderId="4" xfId="0" applyBorder="1" applyAlignment="1">
      <alignment horizontal="center" vertical="center"/>
    </xf>
    <xf numFmtId="164" fontId="0" fillId="0" borderId="21" xfId="0" applyNumberFormat="1" applyBorder="1"/>
    <xf numFmtId="164" fontId="0" fillId="0" borderId="0" xfId="0" applyNumberFormat="1" applyBorder="1"/>
    <xf numFmtId="164" fontId="0" fillId="0" borderId="7" xfId="0" applyNumberFormat="1" applyBorder="1"/>
    <xf numFmtId="164" fontId="0" fillId="0" borderId="25" xfId="0" applyNumberFormat="1" applyBorder="1"/>
    <xf numFmtId="164" fontId="0" fillId="0" borderId="9" xfId="0" applyNumberFormat="1" applyBorder="1"/>
    <xf numFmtId="164" fontId="0" fillId="0" borderId="10" xfId="0" applyNumberFormat="1" applyBorder="1"/>
    <xf numFmtId="0" fontId="2" fillId="0" borderId="28"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3" fillId="0" borderId="0" xfId="0" applyFont="1"/>
    <xf numFmtId="0" fontId="3" fillId="0" borderId="0" xfId="0" applyFont="1" applyBorder="1"/>
    <xf numFmtId="0" fontId="3" fillId="0" borderId="0" xfId="0" applyFont="1" applyAlignment="1">
      <alignment horizontal="center"/>
    </xf>
    <xf numFmtId="0" fontId="3" fillId="0" borderId="0" xfId="0" applyFont="1" applyAlignment="1"/>
    <xf numFmtId="0" fontId="3" fillId="0" borderId="0" xfId="0" applyFont="1" applyBorder="1" applyAlignment="1"/>
    <xf numFmtId="0" fontId="20" fillId="0" borderId="0" xfId="8" applyFont="1" applyAlignment="1"/>
    <xf numFmtId="0" fontId="20" fillId="0" borderId="0" xfId="8" applyFont="1" applyBorder="1" applyAlignment="1"/>
    <xf numFmtId="0" fontId="20" fillId="0" borderId="0" xfId="8" applyFont="1" applyAlignment="1">
      <alignment horizontal="left"/>
    </xf>
    <xf numFmtId="3" fontId="3" fillId="0" borderId="5" xfId="0" applyNumberFormat="1" applyFont="1" applyFill="1" applyBorder="1" applyAlignment="1">
      <alignment horizontal="left" vertical="center"/>
    </xf>
    <xf numFmtId="0" fontId="3" fillId="0" borderId="0" xfId="8" applyFont="1" applyAlignment="1">
      <alignment horizontal="right"/>
    </xf>
    <xf numFmtId="0" fontId="8" fillId="0" borderId="14" xfId="8" applyFont="1" applyBorder="1" applyAlignment="1">
      <alignment horizontal="right"/>
    </xf>
    <xf numFmtId="0" fontId="8" fillId="0" borderId="13" xfId="8" applyFont="1" applyBorder="1" applyAlignment="1">
      <alignment horizontal="right"/>
    </xf>
    <xf numFmtId="0" fontId="8" fillId="0" borderId="12" xfId="8" applyFont="1" applyBorder="1" applyAlignment="1">
      <alignment horizontal="right"/>
    </xf>
    <xf numFmtId="0" fontId="8" fillId="0" borderId="28" xfId="8" applyFont="1" applyBorder="1" applyAlignment="1">
      <alignment horizontal="right"/>
    </xf>
    <xf numFmtId="0" fontId="3" fillId="0" borderId="0" xfId="0" applyFont="1" applyFill="1" applyAlignment="1"/>
    <xf numFmtId="0" fontId="3" fillId="0" borderId="5" xfId="0" applyFont="1" applyFill="1" applyBorder="1" applyAlignment="1">
      <alignment horizontal="left"/>
    </xf>
    <xf numFmtId="3" fontId="8" fillId="0" borderId="7" xfId="0" applyNumberFormat="1" applyFont="1" applyFill="1" applyBorder="1" applyAlignment="1">
      <alignment horizontal="right"/>
    </xf>
    <xf numFmtId="3" fontId="8" fillId="0" borderId="0" xfId="0" applyNumberFormat="1" applyFont="1" applyFill="1" applyBorder="1" applyAlignment="1">
      <alignment horizontal="right"/>
    </xf>
    <xf numFmtId="3" fontId="8" fillId="0" borderId="21" xfId="0" applyNumberFormat="1" applyFont="1" applyFill="1" applyBorder="1" applyAlignment="1">
      <alignment horizontal="right"/>
    </xf>
    <xf numFmtId="0" fontId="11" fillId="0" borderId="0" xfId="0" applyFont="1" applyAlignment="1">
      <alignment horizontal="left"/>
    </xf>
    <xf numFmtId="0" fontId="13" fillId="0" borderId="0" xfId="0" applyFont="1"/>
    <xf numFmtId="3" fontId="3" fillId="0" borderId="0" xfId="0" applyNumberFormat="1" applyFont="1"/>
    <xf numFmtId="0" fontId="21" fillId="0" borderId="0" xfId="0" applyFont="1"/>
    <xf numFmtId="1" fontId="13" fillId="0" borderId="18" xfId="0" applyNumberFormat="1" applyFont="1" applyFill="1" applyBorder="1"/>
    <xf numFmtId="1" fontId="3" fillId="0" borderId="19" xfId="10" applyNumberFormat="1" applyFont="1" applyFill="1" applyBorder="1" applyAlignment="1" applyProtection="1">
      <alignment vertical="center"/>
      <protection locked="0"/>
    </xf>
    <xf numFmtId="1" fontId="3" fillId="0" borderId="20" xfId="10" applyNumberFormat="1" applyFont="1" applyFill="1" applyBorder="1" applyAlignment="1" applyProtection="1">
      <alignment vertical="center"/>
      <protection locked="0"/>
    </xf>
    <xf numFmtId="0" fontId="3" fillId="0" borderId="2" xfId="0" applyFont="1" applyFill="1" applyBorder="1" applyAlignment="1" applyProtection="1">
      <alignment vertical="center"/>
      <protection locked="0"/>
    </xf>
    <xf numFmtId="0" fontId="8" fillId="0" borderId="0" xfId="0" applyFont="1" applyFill="1" applyBorder="1" applyAlignment="1">
      <alignment horizontal="center" vertical="center" wrapText="1"/>
    </xf>
    <xf numFmtId="1" fontId="13" fillId="0" borderId="21" xfId="0" applyNumberFormat="1" applyFont="1" applyFill="1" applyBorder="1"/>
    <xf numFmtId="1" fontId="3" fillId="0" borderId="0" xfId="10" applyNumberFormat="1" applyFont="1" applyFill="1" applyBorder="1" applyAlignment="1" applyProtection="1">
      <alignment vertical="center"/>
      <protection locked="0"/>
    </xf>
    <xf numFmtId="1" fontId="3" fillId="0" borderId="0" xfId="0" applyNumberFormat="1" applyFont="1" applyFill="1" applyBorder="1" applyAlignment="1" applyProtection="1">
      <alignment vertical="center"/>
      <protection locked="0"/>
    </xf>
    <xf numFmtId="1" fontId="3" fillId="0" borderId="7" xfId="0" applyNumberFormat="1" applyFont="1" applyFill="1" applyBorder="1" applyAlignment="1" applyProtection="1">
      <alignment vertical="center"/>
      <protection locked="0"/>
    </xf>
    <xf numFmtId="0" fontId="3" fillId="0" borderId="6" xfId="0" applyFont="1" applyFill="1" applyBorder="1" applyAlignment="1" applyProtection="1">
      <alignment vertical="center"/>
      <protection locked="0"/>
    </xf>
    <xf numFmtId="1" fontId="3" fillId="0" borderId="21" xfId="0" applyNumberFormat="1" applyFont="1" applyFill="1" applyBorder="1" applyAlignment="1" applyProtection="1">
      <alignment vertical="center"/>
      <protection locked="0"/>
    </xf>
    <xf numFmtId="1" fontId="13" fillId="0" borderId="0" xfId="0" applyNumberFormat="1" applyFont="1" applyFill="1" applyBorder="1"/>
    <xf numFmtId="1" fontId="3" fillId="0" borderId="25" xfId="0" applyNumberFormat="1" applyFont="1" applyFill="1" applyBorder="1" applyAlignment="1" applyProtection="1">
      <alignment vertical="center"/>
      <protection locked="0"/>
    </xf>
    <xf numFmtId="1" fontId="3" fillId="0" borderId="9" xfId="0" applyNumberFormat="1" applyFont="1" applyFill="1" applyBorder="1" applyAlignment="1" applyProtection="1">
      <alignment vertical="center"/>
      <protection locked="0"/>
    </xf>
    <xf numFmtId="1" fontId="3" fillId="0" borderId="10" xfId="0" applyNumberFormat="1"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3" fillId="0" borderId="0" xfId="0" applyFont="1" applyFill="1" applyAlignment="1">
      <alignment horizontal="right"/>
    </xf>
    <xf numFmtId="1" fontId="8" fillId="0" borderId="28" xfId="0" applyNumberFormat="1" applyFont="1" applyFill="1" applyBorder="1" applyAlignment="1">
      <alignment horizontal="center" vertical="center"/>
    </xf>
    <xf numFmtId="1" fontId="8" fillId="0" borderId="12" xfId="0" applyNumberFormat="1" applyFont="1" applyFill="1" applyBorder="1" applyAlignment="1">
      <alignment horizontal="center" vertical="center"/>
    </xf>
    <xf numFmtId="1" fontId="8" fillId="0" borderId="13"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right" vertical="center"/>
      <protection locked="0"/>
    </xf>
    <xf numFmtId="0" fontId="0" fillId="0" borderId="0" xfId="0" applyAlignment="1">
      <alignment wrapText="1"/>
    </xf>
    <xf numFmtId="0" fontId="0" fillId="0" borderId="21" xfId="0" applyBorder="1" applyAlignment="1">
      <alignment horizontal="center" vertical="center" wrapText="1"/>
    </xf>
    <xf numFmtId="0" fontId="0" fillId="0" borderId="0"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17"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17" fontId="2" fillId="0" borderId="3"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2" fillId="0" borderId="38" xfId="0" applyFont="1" applyBorder="1" applyAlignment="1">
      <alignment horizontal="justify" vertical="center" wrapText="1"/>
    </xf>
    <xf numFmtId="0" fontId="22" fillId="0" borderId="41" xfId="0" applyFont="1" applyBorder="1" applyAlignment="1">
      <alignment horizontal="justify" vertical="center" wrapText="1"/>
    </xf>
    <xf numFmtId="0" fontId="22" fillId="0" borderId="44" xfId="0" applyFont="1" applyBorder="1" applyAlignment="1">
      <alignment horizontal="justify" vertical="center" wrapText="1"/>
    </xf>
    <xf numFmtId="0" fontId="22" fillId="0" borderId="45" xfId="0" applyFont="1" applyBorder="1" applyAlignment="1">
      <alignment horizontal="justify" vertical="center" wrapText="1"/>
    </xf>
    <xf numFmtId="0" fontId="22" fillId="0" borderId="46" xfId="0" applyFont="1" applyBorder="1" applyAlignment="1">
      <alignment horizontal="center" vertical="center" wrapText="1"/>
    </xf>
    <xf numFmtId="165" fontId="0" fillId="0" borderId="18" xfId="2" applyNumberFormat="1" applyFont="1" applyBorder="1"/>
    <xf numFmtId="165" fontId="0" fillId="0" borderId="21" xfId="2" applyNumberFormat="1" applyFont="1" applyBorder="1"/>
    <xf numFmtId="165" fontId="0" fillId="0" borderId="7" xfId="1" applyNumberFormat="1" applyFont="1" applyBorder="1"/>
    <xf numFmtId="165" fontId="0" fillId="0" borderId="25" xfId="2" applyNumberFormat="1" applyFont="1" applyBorder="1"/>
    <xf numFmtId="165" fontId="0" fillId="0" borderId="9" xfId="1" applyNumberFormat="1" applyFont="1" applyBorder="1"/>
    <xf numFmtId="165" fontId="0" fillId="0" borderId="10" xfId="1" applyNumberFormat="1" applyFont="1" applyBorder="1"/>
    <xf numFmtId="9" fontId="0" fillId="0" borderId="18" xfId="2" applyFont="1" applyBorder="1"/>
    <xf numFmtId="9" fontId="0" fillId="0" borderId="19" xfId="2" applyFont="1" applyBorder="1"/>
    <xf numFmtId="9" fontId="0" fillId="0" borderId="20" xfId="2" applyFont="1" applyBorder="1"/>
    <xf numFmtId="165" fontId="0" fillId="0" borderId="25" xfId="1" applyNumberFormat="1" applyFont="1" applyBorder="1"/>
    <xf numFmtId="0" fontId="0" fillId="0" borderId="28" xfId="0" applyBorder="1"/>
    <xf numFmtId="0" fontId="0" fillId="0" borderId="12" xfId="0" applyBorder="1"/>
    <xf numFmtId="0" fontId="0" fillId="0" borderId="13" xfId="0" applyFont="1" applyBorder="1"/>
    <xf numFmtId="0" fontId="0" fillId="0" borderId="0" xfId="0" applyFont="1" applyAlignment="1">
      <alignment horizontal="center"/>
    </xf>
    <xf numFmtId="0" fontId="0" fillId="0" borderId="11" xfId="0" applyFont="1" applyFill="1" applyBorder="1" applyAlignment="1">
      <alignment horizontal="center" wrapText="1"/>
    </xf>
    <xf numFmtId="3" fontId="0" fillId="0" borderId="17" xfId="0" applyNumberFormat="1" applyFont="1" applyBorder="1" applyAlignment="1">
      <alignment horizontal="center"/>
    </xf>
    <xf numFmtId="3" fontId="0" fillId="0" borderId="15" xfId="0" applyNumberFormat="1" applyFont="1" applyBorder="1" applyAlignment="1">
      <alignment horizontal="center"/>
    </xf>
    <xf numFmtId="0" fontId="0" fillId="0" borderId="15" xfId="0" applyFont="1" applyBorder="1" applyAlignment="1">
      <alignment horizontal="center"/>
    </xf>
    <xf numFmtId="3" fontId="9" fillId="0" borderId="16" xfId="0" applyNumberFormat="1" applyFont="1" applyFill="1" applyBorder="1" applyAlignment="1" applyProtection="1">
      <alignment horizontal="center"/>
      <protection locked="0"/>
    </xf>
    <xf numFmtId="3" fontId="9" fillId="3" borderId="16" xfId="0" applyNumberFormat="1" applyFont="1" applyFill="1" applyBorder="1" applyAlignment="1" applyProtection="1">
      <alignment horizontal="center"/>
      <protection locked="0"/>
    </xf>
    <xf numFmtId="3" fontId="9" fillId="3" borderId="16" xfId="0" applyNumberFormat="1" applyFont="1" applyFill="1" applyBorder="1" applyAlignment="1">
      <alignment horizontal="center"/>
    </xf>
    <xf numFmtId="3" fontId="9" fillId="0" borderId="16" xfId="0" applyNumberFormat="1" applyFont="1" applyFill="1" applyBorder="1" applyAlignment="1">
      <alignment horizontal="center"/>
    </xf>
    <xf numFmtId="3" fontId="2" fillId="0" borderId="15" xfId="0" applyNumberFormat="1" applyFont="1" applyBorder="1" applyAlignment="1">
      <alignment horizontal="center"/>
    </xf>
    <xf numFmtId="0" fontId="0" fillId="0" borderId="0" xfId="0" applyAlignment="1">
      <alignment horizontal="center"/>
    </xf>
    <xf numFmtId="0" fontId="0" fillId="0" borderId="0" xfId="0" applyFont="1" applyAlignment="1">
      <alignment horizontal="left"/>
    </xf>
    <xf numFmtId="0" fontId="8" fillId="2" borderId="14" xfId="0" applyFont="1" applyFill="1" applyBorder="1" applyAlignment="1">
      <alignment horizontal="left" wrapText="1"/>
    </xf>
    <xf numFmtId="0" fontId="3" fillId="2" borderId="5" xfId="0" applyFont="1" applyFill="1" applyBorder="1" applyAlignment="1">
      <alignment horizontal="left"/>
    </xf>
    <xf numFmtId="0" fontId="10" fillId="2" borderId="5" xfId="0" applyFont="1" applyFill="1" applyBorder="1" applyAlignment="1">
      <alignment horizontal="left"/>
    </xf>
    <xf numFmtId="0" fontId="8" fillId="2" borderId="1" xfId="0" applyFont="1" applyFill="1" applyBorder="1" applyAlignment="1">
      <alignment horizontal="left"/>
    </xf>
    <xf numFmtId="0" fontId="0" fillId="0" borderId="0" xfId="0" applyAlignment="1">
      <alignment horizontal="left"/>
    </xf>
    <xf numFmtId="0" fontId="0" fillId="0" borderId="14" xfId="0" applyBorder="1" applyAlignment="1">
      <alignment vertical="center" wrapText="1"/>
    </xf>
    <xf numFmtId="0" fontId="0" fillId="0" borderId="5" xfId="0" applyBorder="1" applyAlignment="1">
      <alignment vertical="center" wrapText="1"/>
    </xf>
    <xf numFmtId="0" fontId="2" fillId="0" borderId="1" xfId="0" applyFont="1" applyBorder="1" applyAlignment="1">
      <alignment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36" xfId="0" applyFont="1" applyBorder="1" applyAlignment="1">
      <alignment horizontal="center" vertical="center" wrapText="1"/>
    </xf>
    <xf numFmtId="20" fontId="0" fillId="0" borderId="0" xfId="0" applyNumberFormat="1"/>
    <xf numFmtId="0" fontId="0" fillId="0" borderId="12" xfId="0" applyFont="1" applyBorder="1" applyAlignment="1">
      <alignment horizontal="center" vertical="top" wrapText="1"/>
    </xf>
    <xf numFmtId="0" fontId="0" fillId="0" borderId="28" xfId="0" applyFont="1" applyBorder="1" applyAlignment="1">
      <alignment horizontal="center" vertical="top" wrapText="1"/>
    </xf>
    <xf numFmtId="1" fontId="6" fillId="2" borderId="24" xfId="6" applyNumberFormat="1" applyFont="1" applyFill="1" applyBorder="1" applyAlignment="1">
      <alignment horizontal="right" vertical="center" indent="1"/>
    </xf>
    <xf numFmtId="1" fontId="3" fillId="2" borderId="22" xfId="0" applyNumberFormat="1" applyFont="1" applyFill="1" applyBorder="1" applyAlignment="1">
      <alignment horizontal="right" vertical="center" indent="1"/>
    </xf>
    <xf numFmtId="1" fontId="6" fillId="2" borderId="7" xfId="6" applyNumberFormat="1" applyFont="1" applyFill="1" applyBorder="1" applyAlignment="1">
      <alignment horizontal="right" vertical="center" indent="1"/>
    </xf>
    <xf numFmtId="1" fontId="3" fillId="2" borderId="21" xfId="0" applyNumberFormat="1" applyFont="1" applyFill="1" applyBorder="1" applyAlignment="1">
      <alignment horizontal="right" vertical="center" indent="1"/>
    </xf>
    <xf numFmtId="1" fontId="6" fillId="2" borderId="20" xfId="6" applyNumberFormat="1" applyFont="1" applyFill="1" applyBorder="1" applyAlignment="1">
      <alignment horizontal="right" vertical="center" indent="1"/>
    </xf>
    <xf numFmtId="1" fontId="3" fillId="2" borderId="18" xfId="0" applyNumberFormat="1" applyFont="1" applyFill="1" applyBorder="1" applyAlignment="1">
      <alignment horizontal="right" vertical="center" indent="1"/>
    </xf>
    <xf numFmtId="3" fontId="3" fillId="2" borderId="0" xfId="0" applyNumberFormat="1" applyFont="1" applyFill="1" applyBorder="1" applyAlignment="1">
      <alignment horizontal="center"/>
    </xf>
    <xf numFmtId="165" fontId="8" fillId="2" borderId="0" xfId="1" applyNumberFormat="1" applyFont="1" applyFill="1" applyBorder="1" applyAlignment="1">
      <alignment horizontal="center" vertical="center" wrapText="1"/>
    </xf>
    <xf numFmtId="165" fontId="10" fillId="2" borderId="0" xfId="1" applyNumberFormat="1" applyFont="1" applyFill="1" applyBorder="1" applyAlignment="1">
      <alignment horizontal="center" vertical="center"/>
    </xf>
    <xf numFmtId="165" fontId="3" fillId="2" borderId="0" xfId="1" applyNumberFormat="1" applyFont="1" applyFill="1" applyBorder="1" applyAlignment="1">
      <alignment horizontal="center" vertical="center"/>
    </xf>
    <xf numFmtId="165" fontId="8" fillId="2" borderId="0" xfId="1" applyNumberFormat="1" applyFont="1" applyFill="1" applyBorder="1" applyAlignment="1">
      <alignment horizontal="center" vertical="center"/>
    </xf>
    <xf numFmtId="165" fontId="3" fillId="2" borderId="19" xfId="1" applyNumberFormat="1" applyFont="1" applyFill="1" applyBorder="1" applyAlignment="1">
      <alignment horizontal="center" vertical="center"/>
    </xf>
    <xf numFmtId="9" fontId="3" fillId="2" borderId="0" xfId="2" applyFont="1" applyFill="1" applyBorder="1" applyAlignment="1">
      <alignment horizontal="center" vertical="center"/>
    </xf>
    <xf numFmtId="0" fontId="3" fillId="2" borderId="23" xfId="0" applyFont="1" applyFill="1" applyBorder="1"/>
    <xf numFmtId="165" fontId="11" fillId="2" borderId="0" xfId="1" applyNumberFormat="1"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3" xfId="0" applyFont="1" applyFill="1" applyBorder="1" applyAlignment="1">
      <alignment horizontal="right" wrapText="1"/>
    </xf>
    <xf numFmtId="0" fontId="3" fillId="2" borderId="3" xfId="0" applyFont="1" applyFill="1" applyBorder="1"/>
    <xf numFmtId="0" fontId="3" fillId="2" borderId="2" xfId="0" applyFont="1" applyFill="1" applyBorder="1"/>
    <xf numFmtId="0" fontId="3" fillId="2" borderId="5" xfId="0" applyFont="1" applyFill="1" applyBorder="1" applyAlignment="1">
      <alignment horizontal="right"/>
    </xf>
    <xf numFmtId="0" fontId="10" fillId="2" borderId="5" xfId="0" applyFont="1" applyFill="1" applyBorder="1" applyAlignment="1">
      <alignment horizontal="right"/>
    </xf>
    <xf numFmtId="0" fontId="3" fillId="2" borderId="1" xfId="0" applyFont="1" applyFill="1" applyBorder="1" applyAlignment="1">
      <alignment horizontal="right"/>
    </xf>
    <xf numFmtId="165" fontId="7" fillId="2" borderId="25" xfId="1" applyNumberFormat="1" applyFont="1" applyFill="1" applyBorder="1" applyAlignment="1"/>
    <xf numFmtId="165" fontId="6" fillId="2" borderId="21" xfId="1" applyNumberFormat="1" applyFont="1" applyFill="1" applyBorder="1" applyAlignment="1"/>
    <xf numFmtId="165" fontId="0" fillId="0" borderId="21" xfId="1" applyNumberFormat="1" applyFont="1" applyBorder="1" applyAlignment="1"/>
    <xf numFmtId="165" fontId="0" fillId="0" borderId="20" xfId="1" applyNumberFormat="1" applyFont="1" applyBorder="1" applyAlignment="1"/>
    <xf numFmtId="165" fontId="0" fillId="0" borderId="19" xfId="1" applyNumberFormat="1" applyFont="1" applyBorder="1" applyAlignment="1"/>
    <xf numFmtId="165" fontId="0" fillId="0" borderId="18" xfId="1" applyNumberFormat="1" applyFont="1" applyBorder="1" applyAlignment="1"/>
    <xf numFmtId="0" fontId="8" fillId="2" borderId="28" xfId="3" applyFont="1" applyFill="1" applyBorder="1" applyAlignment="1"/>
    <xf numFmtId="166" fontId="5" fillId="2" borderId="10" xfId="3" applyNumberFormat="1" applyFont="1" applyFill="1" applyBorder="1" applyAlignment="1">
      <alignment horizontal="center" vertical="center" wrapText="1"/>
    </xf>
    <xf numFmtId="0" fontId="8" fillId="2" borderId="13" xfId="3" applyFont="1" applyFill="1" applyBorder="1"/>
    <xf numFmtId="0" fontId="8" fillId="2" borderId="12" xfId="3" applyFont="1" applyFill="1" applyBorder="1"/>
    <xf numFmtId="0" fontId="8" fillId="2" borderId="28" xfId="3" applyFont="1" applyFill="1" applyBorder="1"/>
    <xf numFmtId="166" fontId="5" fillId="2" borderId="9" xfId="3" applyNumberFormat="1" applyFont="1" applyFill="1" applyBorder="1" applyAlignment="1">
      <alignment horizontal="center" vertical="center" wrapText="1"/>
    </xf>
    <xf numFmtId="165" fontId="0" fillId="0" borderId="30" xfId="1" applyNumberFormat="1" applyFont="1" applyBorder="1"/>
    <xf numFmtId="165" fontId="0" fillId="0" borderId="29" xfId="1" applyNumberFormat="1" applyFont="1" applyBorder="1"/>
    <xf numFmtId="165" fontId="0" fillId="0" borderId="21" xfId="1" applyNumberFormat="1" applyFont="1" applyFill="1" applyBorder="1"/>
    <xf numFmtId="165" fontId="0" fillId="4" borderId="30" xfId="1" applyNumberFormat="1" applyFont="1" applyFill="1" applyBorder="1"/>
    <xf numFmtId="165" fontId="0" fillId="0" borderId="32" xfId="1" applyNumberFormat="1" applyFont="1" applyBorder="1"/>
    <xf numFmtId="165" fontId="0" fillId="0" borderId="32" xfId="1" applyNumberFormat="1" applyFont="1" applyFill="1" applyBorder="1"/>
    <xf numFmtId="165" fontId="0" fillId="0" borderId="31" xfId="1" applyNumberFormat="1" applyFont="1" applyBorder="1"/>
    <xf numFmtId="0" fontId="0" fillId="0" borderId="0" xfId="0" applyBorder="1" applyAlignment="1">
      <alignment horizontal="left"/>
    </xf>
    <xf numFmtId="165" fontId="0" fillId="0" borderId="0" xfId="1" applyNumberFormat="1" applyFont="1" applyBorder="1" applyAlignment="1">
      <alignment horizontal="left"/>
    </xf>
    <xf numFmtId="0" fontId="0" fillId="0" borderId="3" xfId="0" applyBorder="1" applyAlignment="1">
      <alignment horizontal="left"/>
    </xf>
    <xf numFmtId="0" fontId="0" fillId="0" borderId="23" xfId="0" applyBorder="1" applyAlignment="1">
      <alignment horizontal="left"/>
    </xf>
    <xf numFmtId="165" fontId="0" fillId="0" borderId="24" xfId="1" applyNumberFormat="1" applyFont="1" applyBorder="1"/>
    <xf numFmtId="165" fontId="0" fillId="0" borderId="26" xfId="1" applyNumberFormat="1" applyFont="1" applyBorder="1"/>
    <xf numFmtId="165" fontId="0" fillId="4" borderId="26" xfId="1" applyNumberFormat="1" applyFont="1" applyFill="1" applyBorder="1"/>
    <xf numFmtId="165" fontId="0" fillId="0" borderId="47" xfId="1" applyNumberFormat="1" applyFont="1" applyBorder="1"/>
    <xf numFmtId="0" fontId="8" fillId="5" borderId="12" xfId="0" applyFont="1" applyFill="1" applyBorder="1" applyAlignment="1">
      <alignment horizontal="center" vertical="center" wrapText="1"/>
    </xf>
    <xf numFmtId="0" fontId="8" fillId="2" borderId="48" xfId="0" applyFont="1" applyFill="1" applyBorder="1" applyAlignment="1">
      <alignment horizontal="center" vertical="center" wrapText="1"/>
    </xf>
    <xf numFmtId="3" fontId="3" fillId="5" borderId="0" xfId="0" applyNumberFormat="1" applyFont="1" applyFill="1" applyBorder="1"/>
    <xf numFmtId="167" fontId="13" fillId="2" borderId="10" xfId="1" applyNumberFormat="1" applyFont="1" applyFill="1" applyBorder="1" applyAlignment="1">
      <alignment wrapText="1"/>
    </xf>
    <xf numFmtId="167" fontId="13" fillId="2" borderId="9" xfId="1" applyNumberFormat="1" applyFont="1" applyFill="1" applyBorder="1" applyAlignment="1">
      <alignment wrapText="1"/>
    </xf>
    <xf numFmtId="167" fontId="13" fillId="5" borderId="9" xfId="1" applyNumberFormat="1" applyFont="1" applyFill="1" applyBorder="1" applyAlignment="1">
      <alignment wrapText="1"/>
    </xf>
    <xf numFmtId="167" fontId="13" fillId="2" borderId="25" xfId="1" applyNumberFormat="1" applyFont="1" applyFill="1" applyBorder="1" applyAlignment="1">
      <alignment wrapText="1"/>
    </xf>
    <xf numFmtId="167" fontId="23" fillId="0" borderId="20" xfId="1" applyNumberFormat="1" applyFont="1" applyBorder="1" applyAlignment="1"/>
    <xf numFmtId="167" fontId="23" fillId="0" borderId="19" xfId="1" applyNumberFormat="1" applyFont="1" applyBorder="1" applyAlignment="1"/>
    <xf numFmtId="167" fontId="23" fillId="5" borderId="19" xfId="1" applyNumberFormat="1" applyFont="1" applyFill="1" applyBorder="1" applyAlignment="1"/>
    <xf numFmtId="167" fontId="23" fillId="0" borderId="18" xfId="1" applyNumberFormat="1" applyFont="1" applyBorder="1" applyAlignment="1"/>
    <xf numFmtId="0" fontId="0" fillId="0" borderId="9" xfId="0" applyBorder="1"/>
    <xf numFmtId="165" fontId="1" fillId="2" borderId="26" xfId="1" applyNumberFormat="1" applyFont="1" applyFill="1" applyBorder="1"/>
    <xf numFmtId="0" fontId="0" fillId="0" borderId="22" xfId="0" applyBorder="1"/>
    <xf numFmtId="165" fontId="1" fillId="2" borderId="30" xfId="1" applyNumberFormat="1" applyFont="1" applyFill="1" applyBorder="1"/>
    <xf numFmtId="0" fontId="0" fillId="0" borderId="21" xfId="0" applyBorder="1"/>
    <xf numFmtId="165" fontId="1" fillId="2" borderId="29" xfId="1" applyNumberFormat="1" applyFont="1" applyFill="1" applyBorder="1"/>
    <xf numFmtId="0" fontId="0" fillId="0" borderId="18" xfId="0" applyBorder="1"/>
    <xf numFmtId="0" fontId="0" fillId="0" borderId="3" xfId="0" applyBorder="1"/>
    <xf numFmtId="3" fontId="3" fillId="2" borderId="23" xfId="0" applyNumberFormat="1" applyFont="1" applyFill="1" applyBorder="1"/>
    <xf numFmtId="3" fontId="3" fillId="2" borderId="22" xfId="0" applyNumberFormat="1" applyFont="1" applyFill="1" applyBorder="1"/>
    <xf numFmtId="0" fontId="3" fillId="2" borderId="0" xfId="0" applyFont="1" applyFill="1" applyBorder="1"/>
    <xf numFmtId="0" fontId="8" fillId="2" borderId="13" xfId="0" applyFont="1" applyFill="1" applyBorder="1" applyAlignment="1">
      <alignment horizontal="center" vertical="center"/>
    </xf>
    <xf numFmtId="0" fontId="8" fillId="2" borderId="28" xfId="0" applyFont="1" applyFill="1" applyBorder="1"/>
    <xf numFmtId="3" fontId="8" fillId="2" borderId="7" xfId="0" applyNumberFormat="1" applyFont="1" applyFill="1" applyBorder="1" applyAlignment="1">
      <alignment horizontal="right" wrapText="1"/>
    </xf>
    <xf numFmtId="3" fontId="8" fillId="2" borderId="21" xfId="0" applyNumberFormat="1" applyFont="1" applyFill="1" applyBorder="1" applyAlignment="1">
      <alignment horizontal="right" wrapText="1"/>
    </xf>
    <xf numFmtId="9" fontId="3" fillId="0" borderId="20" xfId="2" applyFont="1" applyFill="1" applyBorder="1" applyAlignment="1">
      <alignment horizontal="right"/>
    </xf>
    <xf numFmtId="9" fontId="3" fillId="0" borderId="19" xfId="2" applyFont="1" applyFill="1" applyBorder="1" applyAlignment="1">
      <alignment horizontal="right"/>
    </xf>
    <xf numFmtId="9" fontId="3" fillId="0" borderId="18" xfId="2" applyFont="1" applyFill="1" applyBorder="1" applyAlignment="1">
      <alignment horizontal="right"/>
    </xf>
    <xf numFmtId="3" fontId="10" fillId="0" borderId="1" xfId="0" applyNumberFormat="1" applyFont="1" applyFill="1" applyBorder="1" applyAlignment="1">
      <alignment horizontal="left" vertical="center"/>
    </xf>
    <xf numFmtId="0" fontId="8" fillId="0" borderId="49" xfId="8" applyFont="1" applyBorder="1" applyAlignment="1">
      <alignment horizontal="right"/>
    </xf>
    <xf numFmtId="3" fontId="8" fillId="2" borderId="35" xfId="0" applyNumberFormat="1" applyFont="1" applyFill="1" applyBorder="1" applyAlignment="1">
      <alignment horizontal="right" wrapText="1"/>
    </xf>
    <xf numFmtId="3" fontId="8" fillId="2" borderId="30" xfId="0" applyNumberFormat="1" applyFont="1" applyFill="1" applyBorder="1" applyAlignment="1">
      <alignment horizontal="right" wrapText="1"/>
    </xf>
    <xf numFmtId="3" fontId="8" fillId="0" borderId="30" xfId="0" applyNumberFormat="1" applyFont="1" applyFill="1" applyBorder="1" applyAlignment="1">
      <alignment horizontal="right"/>
    </xf>
    <xf numFmtId="9" fontId="3" fillId="0" borderId="29" xfId="2" applyFont="1" applyFill="1" applyBorder="1" applyAlignment="1">
      <alignment horizontal="right"/>
    </xf>
    <xf numFmtId="0" fontId="24" fillId="0" borderId="0" xfId="0" applyFont="1"/>
    <xf numFmtId="0" fontId="25" fillId="0" borderId="0" xfId="11"/>
    <xf numFmtId="0" fontId="2" fillId="0" borderId="7" xfId="0" applyFont="1" applyBorder="1" applyAlignment="1">
      <alignment horizontal="left" vertical="center" wrapText="1"/>
    </xf>
    <xf numFmtId="0" fontId="0" fillId="0" borderId="7" xfId="0" applyFont="1" applyBorder="1" applyAlignment="1">
      <alignment horizontal="left" vertical="center" wrapText="1"/>
    </xf>
    <xf numFmtId="165" fontId="2" fillId="0" borderId="7" xfId="1" applyNumberFormat="1" applyFont="1" applyBorder="1" applyAlignment="1">
      <alignment horizontal="left" vertical="center" wrapText="1"/>
    </xf>
    <xf numFmtId="165" fontId="0" fillId="0" borderId="7" xfId="1" applyNumberFormat="1" applyFont="1" applyBorder="1" applyAlignment="1">
      <alignment horizontal="left" vertical="center" wrapText="1"/>
    </xf>
    <xf numFmtId="0" fontId="2" fillId="0" borderId="24" xfId="0" applyFont="1" applyBorder="1" applyAlignment="1">
      <alignment horizontal="left" vertical="center" wrapText="1"/>
    </xf>
    <xf numFmtId="0" fontId="0" fillId="0" borderId="4" xfId="0" applyFont="1" applyBorder="1" applyAlignment="1">
      <alignment horizontal="left" vertical="center" wrapText="1"/>
    </xf>
    <xf numFmtId="0" fontId="15" fillId="0" borderId="10" xfId="5" applyFont="1" applyFill="1" applyBorder="1" applyAlignment="1" applyProtection="1">
      <alignment horizontal="center" vertical="center" wrapText="1"/>
      <protection locked="0"/>
    </xf>
    <xf numFmtId="0" fontId="15" fillId="0" borderId="9" xfId="5" applyFont="1" applyFill="1" applyBorder="1" applyAlignment="1" applyProtection="1">
      <alignment horizontal="center" vertical="center" wrapText="1"/>
      <protection locked="0"/>
    </xf>
    <xf numFmtId="0" fontId="15" fillId="0" borderId="8" xfId="5" applyFont="1" applyFill="1" applyBorder="1" applyAlignment="1" applyProtection="1">
      <alignment horizontal="center" vertical="center" wrapText="1"/>
      <protection locked="0"/>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xf>
    <xf numFmtId="0" fontId="12" fillId="0" borderId="0" xfId="0" applyFont="1" applyBorder="1" applyAlignment="1">
      <alignment horizontal="center" vertical="center"/>
    </xf>
    <xf numFmtId="0" fontId="0" fillId="0" borderId="10" xfId="0"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cellXfs>
  <cellStyles count="12">
    <cellStyle name="Lien hypertexte" xfId="11" builtinId="8"/>
    <cellStyle name="Milliers" xfId="1" builtinId="3"/>
    <cellStyle name="Milliers 2 2" xfId="9" xr:uid="{00000000-0005-0000-0000-000002000000}"/>
    <cellStyle name="Normal" xfId="0" builtinId="0"/>
    <cellStyle name="Normal 2" xfId="5" xr:uid="{00000000-0005-0000-0000-000004000000}"/>
    <cellStyle name="Normal 2 2 2" xfId="10" xr:uid="{00000000-0005-0000-0000-000005000000}"/>
    <cellStyle name="Normal 3" xfId="4" xr:uid="{00000000-0005-0000-0000-000006000000}"/>
    <cellStyle name="Normal 4" xfId="8" xr:uid="{00000000-0005-0000-0000-000007000000}"/>
    <cellStyle name="Normal 5" xfId="6" xr:uid="{00000000-0005-0000-0000-000008000000}"/>
    <cellStyle name="Normal 8" xfId="7" xr:uid="{00000000-0005-0000-0000-000009000000}"/>
    <cellStyle name="Normal_Figure5-6" xfId="3" xr:uid="{00000000-0005-0000-0000-00000A00000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9.6137369636279862E-2"/>
          <c:y val="5.0925925925925923E-2"/>
          <c:w val="0.84064633477849204"/>
          <c:h val="0.71433581219014286"/>
        </c:manualLayout>
      </c:layout>
      <c:lineChart>
        <c:grouping val="standard"/>
        <c:varyColors val="0"/>
        <c:ser>
          <c:idx val="0"/>
          <c:order val="0"/>
          <c:tx>
            <c:strRef>
              <c:f>'Graphique 29'!$B$10</c:f>
              <c:strCache>
                <c:ptCount val="1"/>
                <c:pt idx="0">
                  <c:v>Poste offerts</c:v>
                </c:pt>
              </c:strCache>
            </c:strRef>
          </c:tx>
          <c:spPr>
            <a:ln w="19050" cap="rnd">
              <a:solidFill>
                <a:schemeClr val="accent1">
                  <a:lumMod val="50000"/>
                </a:schemeClr>
              </a:solidFill>
              <a:round/>
            </a:ln>
            <a:effectLst/>
          </c:spPr>
          <c:marker>
            <c:symbol val="none"/>
          </c:marker>
          <c:dPt>
            <c:idx val="0"/>
            <c:marker>
              <c:symbol val="circle"/>
              <c:size val="7"/>
              <c:spPr>
                <a:solidFill>
                  <a:schemeClr val="tx1"/>
                </a:solidFill>
                <a:ln w="9525">
                  <a:solidFill>
                    <a:schemeClr val="tx1"/>
                  </a:solidFill>
                </a:ln>
                <a:effectLst/>
              </c:spPr>
            </c:marker>
            <c:bubble3D val="0"/>
            <c:extLst>
              <c:ext xmlns:c16="http://schemas.microsoft.com/office/drawing/2014/chart" uri="{C3380CC4-5D6E-409C-BE32-E72D297353CC}">
                <c16:uniqueId val="{00000000-2DCE-414B-BDDC-41D92A252BE2}"/>
              </c:ext>
            </c:extLst>
          </c:dPt>
          <c:cat>
            <c:numRef>
              <c:f>'Graphique 29'!$C$5:$AN$5</c:f>
              <c:numCache>
                <c:formatCode>General</c:formatCode>
                <c:ptCount val="38"/>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numCache>
            </c:numRef>
          </c:cat>
          <c:val>
            <c:numRef>
              <c:f>'Graphique 29'!$C$10:$AN$10</c:f>
              <c:numCache>
                <c:formatCode>_-* #\ ##0_-;\-* #\ ##0_-;_-* "-"??_-;_-@_-</c:formatCode>
                <c:ptCount val="38"/>
                <c:pt idx="0">
                  <c:v>100</c:v>
                </c:pt>
                <c:pt idx="1">
                  <c:v>97.16965190942885</c:v>
                </c:pt>
                <c:pt idx="2">
                  <c:v>98.335586346738765</c:v>
                </c:pt>
                <c:pt idx="3">
                  <c:v>102.26850287259208</c:v>
                </c:pt>
                <c:pt idx="4">
                  <c:v>141.21324771882394</c:v>
                </c:pt>
                <c:pt idx="5">
                  <c:v>143.70141939844544</c:v>
                </c:pt>
                <c:pt idx="6">
                  <c:v>130.93528218992901</c:v>
                </c:pt>
                <c:pt idx="7">
                  <c:v>159.04021628928692</c:v>
                </c:pt>
                <c:pt idx="8">
                  <c:v>175.34640081108483</c:v>
                </c:pt>
                <c:pt idx="9">
                  <c:v>183.77407908077052</c:v>
                </c:pt>
                <c:pt idx="10">
                  <c:v>185.09209192294693</c:v>
                </c:pt>
                <c:pt idx="11">
                  <c:v>182.21105103075362</c:v>
                </c:pt>
                <c:pt idx="12">
                  <c:v>164.17708685366679</c:v>
                </c:pt>
                <c:pt idx="13">
                  <c:v>172.37664751605274</c:v>
                </c:pt>
                <c:pt idx="14">
                  <c:v>172.65545792497466</c:v>
                </c:pt>
                <c:pt idx="15">
                  <c:v>176.20395403852655</c:v>
                </c:pt>
                <c:pt idx="16">
                  <c:v>191.45826292666442</c:v>
                </c:pt>
                <c:pt idx="17">
                  <c:v>218.65072659682326</c:v>
                </c:pt>
                <c:pt idx="18">
                  <c:v>196.14312267657991</c:v>
                </c:pt>
                <c:pt idx="19">
                  <c:v>172.53295032105441</c:v>
                </c:pt>
                <c:pt idx="20">
                  <c:v>173.14126394052045</c:v>
                </c:pt>
                <c:pt idx="21">
                  <c:v>140.28810408921933</c:v>
                </c:pt>
                <c:pt idx="22">
                  <c:v>137.69432240621833</c:v>
                </c:pt>
                <c:pt idx="23">
                  <c:v>134.17117269347753</c:v>
                </c:pt>
                <c:pt idx="24">
                  <c:v>113.37445082798243</c:v>
                </c:pt>
                <c:pt idx="25">
                  <c:v>106.6492058127746</c:v>
                </c:pt>
                <c:pt idx="26">
                  <c:v>84.859749915511998</c:v>
                </c:pt>
                <c:pt idx="27">
                  <c:v>92.096147347076723</c:v>
                </c:pt>
                <c:pt idx="28">
                  <c:v>112.41128759716122</c:v>
                </c:pt>
                <c:pt idx="29">
                  <c:v>200.93359242987498</c:v>
                </c:pt>
                <c:pt idx="30">
                  <c:v>146.02061507265969</c:v>
                </c:pt>
                <c:pt idx="31">
                  <c:v>168.87884420412303</c:v>
                </c:pt>
                <c:pt idx="32">
                  <c:v>161.1608651571477</c:v>
                </c:pt>
                <c:pt idx="33">
                  <c:v>152.68249408583981</c:v>
                </c:pt>
                <c:pt idx="34">
                  <c:v>153.2147685028726</c:v>
                </c:pt>
                <c:pt idx="35">
                  <c:v>152.69094288611018</c:v>
                </c:pt>
                <c:pt idx="36">
                  <c:v>150.48158161541062</c:v>
                </c:pt>
                <c:pt idx="37">
                  <c:v>150.90824602906389</c:v>
                </c:pt>
              </c:numCache>
            </c:numRef>
          </c:val>
          <c:smooth val="0"/>
          <c:extLst>
            <c:ext xmlns:c16="http://schemas.microsoft.com/office/drawing/2014/chart" uri="{C3380CC4-5D6E-409C-BE32-E72D297353CC}">
              <c16:uniqueId val="{00000001-2DCE-414B-BDDC-41D92A252BE2}"/>
            </c:ext>
          </c:extLst>
        </c:ser>
        <c:ser>
          <c:idx val="1"/>
          <c:order val="1"/>
          <c:tx>
            <c:strRef>
              <c:f>'Graphique 29'!$B$11</c:f>
              <c:strCache>
                <c:ptCount val="1"/>
                <c:pt idx="0">
                  <c:v>Candidats présents</c:v>
                </c:pt>
              </c:strCache>
            </c:strRef>
          </c:tx>
          <c:spPr>
            <a:ln w="19050" cap="rnd">
              <a:solidFill>
                <a:schemeClr val="accent5"/>
              </a:solidFill>
              <a:round/>
            </a:ln>
            <a:effectLst/>
          </c:spPr>
          <c:marker>
            <c:symbol val="none"/>
          </c:marker>
          <c:dPt>
            <c:idx val="0"/>
            <c:marker>
              <c:symbol val="none"/>
            </c:marker>
            <c:bubble3D val="0"/>
            <c:extLst>
              <c:ext xmlns:c16="http://schemas.microsoft.com/office/drawing/2014/chart" uri="{C3380CC4-5D6E-409C-BE32-E72D297353CC}">
                <c16:uniqueId val="{00000002-2DCE-414B-BDDC-41D92A252BE2}"/>
              </c:ext>
            </c:extLst>
          </c:dPt>
          <c:cat>
            <c:numRef>
              <c:f>'Graphique 29'!$C$5:$AN$5</c:f>
              <c:numCache>
                <c:formatCode>General</c:formatCode>
                <c:ptCount val="38"/>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numCache>
            </c:numRef>
          </c:cat>
          <c:val>
            <c:numRef>
              <c:f>'Graphique 29'!$C$11:$AN$11</c:f>
              <c:numCache>
                <c:formatCode>_-* #\ ##0_-;\-* #\ ##0_-;_-* "-"??_-;_-@_-</c:formatCode>
                <c:ptCount val="38"/>
                <c:pt idx="0">
                  <c:v>100</c:v>
                </c:pt>
                <c:pt idx="1">
                  <c:v>71.85580705487844</c:v>
                </c:pt>
                <c:pt idx="2">
                  <c:v>63.150319210679051</c:v>
                </c:pt>
                <c:pt idx="3">
                  <c:v>52.994389630489458</c:v>
                </c:pt>
                <c:pt idx="4">
                  <c:v>65.937189656284261</c:v>
                </c:pt>
                <c:pt idx="5">
                  <c:v>57.382601405816722</c:v>
                </c:pt>
                <c:pt idx="6">
                  <c:v>65.907525633584825</c:v>
                </c:pt>
                <c:pt idx="7">
                  <c:v>81.409170052234472</c:v>
                </c:pt>
                <c:pt idx="8">
                  <c:v>120.10085767717804</c:v>
                </c:pt>
                <c:pt idx="9">
                  <c:v>145.35371122718772</c:v>
                </c:pt>
                <c:pt idx="10">
                  <c:v>159.62262204165859</c:v>
                </c:pt>
                <c:pt idx="11">
                  <c:v>163.56819500870574</c:v>
                </c:pt>
                <c:pt idx="12">
                  <c:v>165.58405881214935</c:v>
                </c:pt>
                <c:pt idx="13">
                  <c:v>158.24492164828789</c:v>
                </c:pt>
                <c:pt idx="14">
                  <c:v>142.96923969820082</c:v>
                </c:pt>
                <c:pt idx="15">
                  <c:v>134.46985232475657</c:v>
                </c:pt>
                <c:pt idx="16">
                  <c:v>121.83813761527051</c:v>
                </c:pt>
                <c:pt idx="17">
                  <c:v>149.28793448120203</c:v>
                </c:pt>
                <c:pt idx="18">
                  <c:v>148.54323853743469</c:v>
                </c:pt>
                <c:pt idx="19">
                  <c:v>147.13432643322369</c:v>
                </c:pt>
                <c:pt idx="20">
                  <c:v>138.87792609789128</c:v>
                </c:pt>
                <c:pt idx="21">
                  <c:v>120.656219771716</c:v>
                </c:pt>
                <c:pt idx="22">
                  <c:v>108.74469594376733</c:v>
                </c:pt>
                <c:pt idx="23">
                  <c:v>93.096794995808338</c:v>
                </c:pt>
                <c:pt idx="24">
                  <c:v>89.032565937963497</c:v>
                </c:pt>
                <c:pt idx="25">
                  <c:v>75.684271619268713</c:v>
                </c:pt>
                <c:pt idx="26">
                  <c:v>60.528535500096723</c:v>
                </c:pt>
                <c:pt idx="27">
                  <c:v>56.645385954730124</c:v>
                </c:pt>
                <c:pt idx="28">
                  <c:v>59.877216740826725</c:v>
                </c:pt>
                <c:pt idx="29">
                  <c:v>77.761527052298959</c:v>
                </c:pt>
                <c:pt idx="30">
                  <c:v>66.946282324111692</c:v>
                </c:pt>
                <c:pt idx="31">
                  <c:v>76.602824530857021</c:v>
                </c:pt>
                <c:pt idx="32">
                  <c:v>66.062552395692265</c:v>
                </c:pt>
                <c:pt idx="33">
                  <c:v>58.767913845360162</c:v>
                </c:pt>
                <c:pt idx="34">
                  <c:v>52.907203198555486</c:v>
                </c:pt>
                <c:pt idx="35">
                  <c:v>49.59850390146385</c:v>
                </c:pt>
                <c:pt idx="36">
                  <c:v>49.694331592184177</c:v>
                </c:pt>
                <c:pt idx="37">
                  <c:v>38.959953569355775</c:v>
                </c:pt>
              </c:numCache>
            </c:numRef>
          </c:val>
          <c:smooth val="0"/>
          <c:extLst>
            <c:ext xmlns:c16="http://schemas.microsoft.com/office/drawing/2014/chart" uri="{C3380CC4-5D6E-409C-BE32-E72D297353CC}">
              <c16:uniqueId val="{00000003-2DCE-414B-BDDC-41D92A252BE2}"/>
            </c:ext>
          </c:extLst>
        </c:ser>
        <c:dLbls>
          <c:showLegendKey val="0"/>
          <c:showVal val="0"/>
          <c:showCatName val="0"/>
          <c:showSerName val="0"/>
          <c:showPercent val="0"/>
          <c:showBubbleSize val="0"/>
        </c:dLbls>
        <c:marker val="1"/>
        <c:smooth val="0"/>
        <c:axId val="516844975"/>
        <c:axId val="516851215"/>
      </c:lineChart>
      <c:lineChart>
        <c:grouping val="standard"/>
        <c:varyColors val="0"/>
        <c:ser>
          <c:idx val="2"/>
          <c:order val="2"/>
          <c:tx>
            <c:strRef>
              <c:f>'Graphique 29'!$B$12</c:f>
              <c:strCache>
                <c:ptCount val="1"/>
                <c:pt idx="0">
                  <c:v>Taux de sélectivité (ech. Droite)</c:v>
                </c:pt>
              </c:strCache>
            </c:strRef>
          </c:tx>
          <c:spPr>
            <a:ln w="19050" cap="rnd">
              <a:solidFill>
                <a:schemeClr val="tx1"/>
              </a:solidFill>
              <a:prstDash val="sysDot"/>
              <a:round/>
            </a:ln>
            <a:effectLst/>
          </c:spPr>
          <c:marker>
            <c:symbol val="none"/>
          </c:marker>
          <c:cat>
            <c:numRef>
              <c:f>'Graphique 29'!$C$5:$AN$5</c:f>
              <c:numCache>
                <c:formatCode>General</c:formatCode>
                <c:ptCount val="38"/>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numCache>
            </c:numRef>
          </c:cat>
          <c:val>
            <c:numRef>
              <c:f>'Graphique 29'!$C$12:$AN$12</c:f>
              <c:numCache>
                <c:formatCode>_-* #\ ##0_-;\-* #\ ##0_-;_-* "-"??_-;_-@_-</c:formatCode>
                <c:ptCount val="38"/>
                <c:pt idx="0">
                  <c:v>16.376943224062185</c:v>
                </c:pt>
                <c:pt idx="1">
                  <c:v>12.110555603860535</c:v>
                </c:pt>
                <c:pt idx="2">
                  <c:v>10.517140647821979</c:v>
                </c:pt>
                <c:pt idx="3">
                  <c:v>8.486348052377215</c:v>
                </c:pt>
                <c:pt idx="4">
                  <c:v>7.6469426827809022</c:v>
                </c:pt>
                <c:pt idx="5">
                  <c:v>6.5396125466678425</c:v>
                </c:pt>
                <c:pt idx="6">
                  <c:v>8.2434908856267146</c:v>
                </c:pt>
                <c:pt idx="7">
                  <c:v>8.3829951126221847</c:v>
                </c:pt>
                <c:pt idx="8">
                  <c:v>11.217138864797148</c:v>
                </c:pt>
                <c:pt idx="9">
                  <c:v>12.953129669218216</c:v>
                </c:pt>
                <c:pt idx="10">
                  <c:v>14.123405226520598</c:v>
                </c:pt>
                <c:pt idx="11">
                  <c:v>14.701342359678204</c:v>
                </c:pt>
                <c:pt idx="12">
                  <c:v>16.517291066282421</c:v>
                </c:pt>
                <c:pt idx="13">
                  <c:v>15.034334027692685</c:v>
                </c:pt>
                <c:pt idx="14">
                  <c:v>13.561106897311053</c:v>
                </c:pt>
                <c:pt idx="15">
                  <c:v>12.498046078971976</c:v>
                </c:pt>
                <c:pt idx="16">
                  <c:v>10.421781916067252</c:v>
                </c:pt>
                <c:pt idx="17">
                  <c:v>11.181668888502482</c:v>
                </c:pt>
                <c:pt idx="18">
                  <c:v>12.402597402597403</c:v>
                </c:pt>
                <c:pt idx="19">
                  <c:v>13.966088830125852</c:v>
                </c:pt>
                <c:pt idx="20">
                  <c:v>13.136070853462158</c:v>
                </c:pt>
                <c:pt idx="21">
                  <c:v>14.085157637989701</c:v>
                </c:pt>
                <c:pt idx="22">
                  <c:v>12.933762847062432</c:v>
                </c:pt>
                <c:pt idx="23">
                  <c:v>11.363401656119139</c:v>
                </c:pt>
                <c:pt idx="24">
                  <c:v>12.860757135405022</c:v>
                </c:pt>
                <c:pt idx="25">
                  <c:v>11.621999524677177</c:v>
                </c:pt>
                <c:pt idx="26">
                  <c:v>11.681302270011948</c:v>
                </c:pt>
                <c:pt idx="27">
                  <c:v>10.072932434292005</c:v>
                </c:pt>
                <c:pt idx="28">
                  <c:v>8.7233746711762503</c:v>
                </c:pt>
                <c:pt idx="29">
                  <c:v>6.3378955114054456</c:v>
                </c:pt>
                <c:pt idx="30">
                  <c:v>7.5083608169877918</c:v>
                </c:pt>
                <c:pt idx="31">
                  <c:v>7.4285213998048878</c:v>
                </c:pt>
                <c:pt idx="32">
                  <c:v>6.713184796854522</c:v>
                </c:pt>
                <c:pt idx="33">
                  <c:v>6.3035306975071244</c:v>
                </c:pt>
                <c:pt idx="34">
                  <c:v>5.6551876257961347</c:v>
                </c:pt>
                <c:pt idx="35">
                  <c:v>5.3197122700235164</c:v>
                </c:pt>
                <c:pt idx="36">
                  <c:v>5.408244904834091</c:v>
                </c:pt>
                <c:pt idx="37">
                  <c:v>4.2280323601041347</c:v>
                </c:pt>
              </c:numCache>
            </c:numRef>
          </c:val>
          <c:smooth val="0"/>
          <c:extLst>
            <c:ext xmlns:c16="http://schemas.microsoft.com/office/drawing/2014/chart" uri="{C3380CC4-5D6E-409C-BE32-E72D297353CC}">
              <c16:uniqueId val="{00000004-2DCE-414B-BDDC-41D92A252BE2}"/>
            </c:ext>
          </c:extLst>
        </c:ser>
        <c:dLbls>
          <c:showLegendKey val="0"/>
          <c:showVal val="0"/>
          <c:showCatName val="0"/>
          <c:showSerName val="0"/>
          <c:showPercent val="0"/>
          <c:showBubbleSize val="0"/>
        </c:dLbls>
        <c:marker val="1"/>
        <c:smooth val="0"/>
        <c:axId val="516886991"/>
        <c:axId val="516880335"/>
      </c:lineChart>
      <c:catAx>
        <c:axId val="516844975"/>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6851215"/>
        <c:crosses val="autoZero"/>
        <c:auto val="1"/>
        <c:lblAlgn val="ctr"/>
        <c:lblOffset val="100"/>
        <c:noMultiLvlLbl val="0"/>
      </c:catAx>
      <c:valAx>
        <c:axId val="516851215"/>
        <c:scaling>
          <c:orientation val="minMax"/>
          <c:max val="220"/>
          <c:min val="20"/>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6844975"/>
        <c:crosses val="autoZero"/>
        <c:crossBetween val="between"/>
        <c:majorUnit val="20"/>
      </c:valAx>
      <c:valAx>
        <c:axId val="516880335"/>
        <c:scaling>
          <c:orientation val="minMax"/>
          <c:max val="22"/>
          <c:min val="2"/>
        </c:scaling>
        <c:delete val="0"/>
        <c:axPos val="r"/>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6886991"/>
        <c:crosses val="max"/>
        <c:crossBetween val="between"/>
        <c:majorUnit val="2"/>
      </c:valAx>
      <c:catAx>
        <c:axId val="516886991"/>
        <c:scaling>
          <c:orientation val="minMax"/>
        </c:scaling>
        <c:delete val="1"/>
        <c:axPos val="b"/>
        <c:numFmt formatCode="General" sourceLinked="1"/>
        <c:majorTickMark val="out"/>
        <c:minorTickMark val="none"/>
        <c:tickLblPos val="nextTo"/>
        <c:crossAx val="516880335"/>
        <c:crosses val="autoZero"/>
        <c:auto val="1"/>
        <c:lblAlgn val="ctr"/>
        <c:lblOffset val="100"/>
        <c:noMultiLvlLbl val="0"/>
      </c:catAx>
      <c:spPr>
        <a:noFill/>
        <a:ln>
          <a:solidFill>
            <a:sysClr val="windowText" lastClr="000000"/>
          </a:solidFill>
        </a:ln>
        <a:effectLst/>
      </c:spPr>
    </c:plotArea>
    <c:legend>
      <c:legendPos val="b"/>
      <c:layout>
        <c:manualLayout>
          <c:xMode val="edge"/>
          <c:yMode val="edge"/>
          <c:x val="4.9466640126675281E-2"/>
          <c:y val="0.90161927675707199"/>
          <c:w val="0.9177159030847496"/>
          <c:h val="7.06029454651501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'Graphique 36'!$B$15</c:f>
              <c:strCache>
                <c:ptCount val="1"/>
                <c:pt idx="0">
                  <c:v>Catégories A (hors enseignants)</c:v>
                </c:pt>
              </c:strCache>
            </c:strRef>
          </c:tx>
          <c:spPr>
            <a:ln w="28575" cap="rnd">
              <a:solidFill>
                <a:schemeClr val="accent1"/>
              </a:solidFill>
              <a:round/>
            </a:ln>
            <a:effectLst/>
          </c:spPr>
          <c:marker>
            <c:symbol val="none"/>
          </c:marker>
          <c:cat>
            <c:numRef>
              <c:f>'Graphique 36'!$C$6:$Y$6</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36'!$C$18:$Y$18</c:f>
              <c:numCache>
                <c:formatCode>_-* #\ ##0_-;\-* #\ ##0_-;_-* "-"??_-;_-@_-</c:formatCode>
                <c:ptCount val="23"/>
                <c:pt idx="0">
                  <c:v>21.797288971041283</c:v>
                </c:pt>
                <c:pt idx="1">
                  <c:v>17.179060665362034</c:v>
                </c:pt>
                <c:pt idx="2">
                  <c:v>23.704764139873269</c:v>
                </c:pt>
                <c:pt idx="3">
                  <c:v>29.798979897989799</c:v>
                </c:pt>
                <c:pt idx="4">
                  <c:v>33.140738498789347</c:v>
                </c:pt>
                <c:pt idx="5">
                  <c:v>31.855361596009974</c:v>
                </c:pt>
                <c:pt idx="6">
                  <c:v>36.154183884297524</c:v>
                </c:pt>
                <c:pt idx="7">
                  <c:v>26.569863680623175</c:v>
                </c:pt>
                <c:pt idx="8">
                  <c:v>22.415949367088608</c:v>
                </c:pt>
                <c:pt idx="9">
                  <c:v>22.719642857142858</c:v>
                </c:pt>
                <c:pt idx="10">
                  <c:v>23.622343324250682</c:v>
                </c:pt>
                <c:pt idx="11">
                  <c:v>23.539182282793867</c:v>
                </c:pt>
                <c:pt idx="12">
                  <c:v>22.972072072072073</c:v>
                </c:pt>
                <c:pt idx="13">
                  <c:v>26.909462219196733</c:v>
                </c:pt>
                <c:pt idx="14">
                  <c:v>19.115019011406844</c:v>
                </c:pt>
                <c:pt idx="15">
                  <c:v>25.861748089066136</c:v>
                </c:pt>
                <c:pt idx="16">
                  <c:v>22.552375809935207</c:v>
                </c:pt>
                <c:pt idx="17">
                  <c:v>19.179273084479373</c:v>
                </c:pt>
                <c:pt idx="18">
                  <c:v>11.954823279298433</c:v>
                </c:pt>
                <c:pt idx="19">
                  <c:v>12.573807721423163</c:v>
                </c:pt>
                <c:pt idx="20">
                  <c:v>10.624082568807339</c:v>
                </c:pt>
                <c:pt idx="21">
                  <c:v>8.8206889308968712</c:v>
                </c:pt>
                <c:pt idx="22">
                  <c:v>6.1418052558080491</c:v>
                </c:pt>
              </c:numCache>
            </c:numRef>
          </c:val>
          <c:smooth val="0"/>
          <c:extLst>
            <c:ext xmlns:c16="http://schemas.microsoft.com/office/drawing/2014/chart" uri="{C3380CC4-5D6E-409C-BE32-E72D297353CC}">
              <c16:uniqueId val="{00000000-D4CE-4D48-9C48-49E301B955AC}"/>
            </c:ext>
          </c:extLst>
        </c:ser>
        <c:ser>
          <c:idx val="1"/>
          <c:order val="1"/>
          <c:tx>
            <c:strRef>
              <c:f>'Graphique 36'!$B$23</c:f>
              <c:strCache>
                <c:ptCount val="1"/>
                <c:pt idx="0">
                  <c:v>Catégories B</c:v>
                </c:pt>
              </c:strCache>
            </c:strRef>
          </c:tx>
          <c:spPr>
            <a:ln w="28575" cap="rnd">
              <a:solidFill>
                <a:schemeClr val="accent3"/>
              </a:solidFill>
              <a:round/>
            </a:ln>
            <a:effectLst/>
          </c:spPr>
          <c:marker>
            <c:symbol val="none"/>
          </c:marker>
          <c:cat>
            <c:numRef>
              <c:f>'Graphique 36'!$C$6:$Y$6</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36'!$C$26:$Y$26</c:f>
              <c:numCache>
                <c:formatCode>_-* #\ ##0_-;\-* #\ ##0_-;_-* "-"??_-;_-@_-</c:formatCode>
                <c:ptCount val="23"/>
                <c:pt idx="0">
                  <c:v>28.532941464609355</c:v>
                </c:pt>
                <c:pt idx="1">
                  <c:v>21.108029801324502</c:v>
                </c:pt>
                <c:pt idx="2">
                  <c:v>20.000178603322023</c:v>
                </c:pt>
                <c:pt idx="3">
                  <c:v>24.186472969754703</c:v>
                </c:pt>
                <c:pt idx="4">
                  <c:v>28.840451915128135</c:v>
                </c:pt>
                <c:pt idx="5">
                  <c:v>29.476205191594563</c:v>
                </c:pt>
                <c:pt idx="6">
                  <c:v>16.928967254408061</c:v>
                </c:pt>
                <c:pt idx="7">
                  <c:v>18.571032845271073</c:v>
                </c:pt>
                <c:pt idx="8">
                  <c:v>13.455094339622642</c:v>
                </c:pt>
                <c:pt idx="9">
                  <c:v>21.169752117979289</c:v>
                </c:pt>
                <c:pt idx="10">
                  <c:v>24.431320504313206</c:v>
                </c:pt>
                <c:pt idx="11">
                  <c:v>21.175493250259606</c:v>
                </c:pt>
                <c:pt idx="12">
                  <c:v>16.883896260554884</c:v>
                </c:pt>
                <c:pt idx="13">
                  <c:v>20.39553264604811</c:v>
                </c:pt>
                <c:pt idx="14">
                  <c:v>15.838758901322482</c:v>
                </c:pt>
                <c:pt idx="15">
                  <c:v>13.703324225865209</c:v>
                </c:pt>
                <c:pt idx="16">
                  <c:v>11.98447204968944</c:v>
                </c:pt>
                <c:pt idx="17">
                  <c:v>11.037506997574175</c:v>
                </c:pt>
                <c:pt idx="18">
                  <c:v>9.7679883251010331</c:v>
                </c:pt>
                <c:pt idx="19">
                  <c:v>6.3403159340659343</c:v>
                </c:pt>
                <c:pt idx="20">
                  <c:v>6.6773639951947832</c:v>
                </c:pt>
                <c:pt idx="21">
                  <c:v>6.2276804372287415</c:v>
                </c:pt>
                <c:pt idx="22">
                  <c:v>6.4137500000000003</c:v>
                </c:pt>
              </c:numCache>
            </c:numRef>
          </c:val>
          <c:smooth val="0"/>
          <c:extLst>
            <c:ext xmlns:c16="http://schemas.microsoft.com/office/drawing/2014/chart" uri="{C3380CC4-5D6E-409C-BE32-E72D297353CC}">
              <c16:uniqueId val="{00000001-D4CE-4D48-9C48-49E301B955AC}"/>
            </c:ext>
          </c:extLst>
        </c:ser>
        <c:ser>
          <c:idx val="2"/>
          <c:order val="2"/>
          <c:tx>
            <c:strRef>
              <c:f>'Graphique 36'!$B$27</c:f>
              <c:strCache>
                <c:ptCount val="1"/>
                <c:pt idx="0">
                  <c:v>Catégories C</c:v>
                </c:pt>
              </c:strCache>
            </c:strRef>
          </c:tx>
          <c:spPr>
            <a:ln w="28575" cap="rnd">
              <a:solidFill>
                <a:schemeClr val="accent5"/>
              </a:solidFill>
              <a:round/>
            </a:ln>
            <a:effectLst/>
          </c:spPr>
          <c:marker>
            <c:symbol val="none"/>
          </c:marker>
          <c:cat>
            <c:numRef>
              <c:f>'Graphique 36'!$C$6:$Y$6</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36'!$C$30:$Y$30</c:f>
              <c:numCache>
                <c:formatCode>_-* #\ ##0_-;\-* #\ ##0_-;_-* "-"??_-;_-@_-</c:formatCode>
                <c:ptCount val="23"/>
                <c:pt idx="0">
                  <c:v>17.27121609798775</c:v>
                </c:pt>
                <c:pt idx="1">
                  <c:v>14.471147184004751</c:v>
                </c:pt>
                <c:pt idx="2">
                  <c:v>16.393946256038646</c:v>
                </c:pt>
                <c:pt idx="3">
                  <c:v>21.338356164383562</c:v>
                </c:pt>
                <c:pt idx="4">
                  <c:v>21.198949512273554</c:v>
                </c:pt>
                <c:pt idx="5">
                  <c:v>21.889979456745035</c:v>
                </c:pt>
                <c:pt idx="6">
                  <c:v>30.370927318295738</c:v>
                </c:pt>
                <c:pt idx="7">
                  <c:v>31.826993865030676</c:v>
                </c:pt>
                <c:pt idx="8">
                  <c:v>21.817423743691023</c:v>
                </c:pt>
                <c:pt idx="9">
                  <c:v>21.329573652154298</c:v>
                </c:pt>
                <c:pt idx="10">
                  <c:v>15.651885369532428</c:v>
                </c:pt>
                <c:pt idx="11">
                  <c:v>20.662210338680929</c:v>
                </c:pt>
                <c:pt idx="12">
                  <c:v>19.615535889872174</c:v>
                </c:pt>
                <c:pt idx="13">
                  <c:v>21.044938016528924</c:v>
                </c:pt>
                <c:pt idx="14">
                  <c:v>13.748686244204018</c:v>
                </c:pt>
                <c:pt idx="15">
                  <c:v>14.876691729323309</c:v>
                </c:pt>
                <c:pt idx="16">
                  <c:v>12.632342277012327</c:v>
                </c:pt>
                <c:pt idx="17">
                  <c:v>11.837423312883436</c:v>
                </c:pt>
                <c:pt idx="18">
                  <c:v>8.3401487146802644</c:v>
                </c:pt>
                <c:pt idx="19">
                  <c:v>7.1994074749316317</c:v>
                </c:pt>
                <c:pt idx="20">
                  <c:v>6.5765133171912833</c:v>
                </c:pt>
                <c:pt idx="21">
                  <c:v>7.940042826552463</c:v>
                </c:pt>
                <c:pt idx="22">
                  <c:v>6.0105414470531864</c:v>
                </c:pt>
              </c:numCache>
            </c:numRef>
          </c:val>
          <c:smooth val="0"/>
          <c:extLst>
            <c:ext xmlns:c16="http://schemas.microsoft.com/office/drawing/2014/chart" uri="{C3380CC4-5D6E-409C-BE32-E72D297353CC}">
              <c16:uniqueId val="{00000002-D4CE-4D48-9C48-49E301B955AC}"/>
            </c:ext>
          </c:extLst>
        </c:ser>
        <c:dLbls>
          <c:showLegendKey val="0"/>
          <c:showVal val="0"/>
          <c:showCatName val="0"/>
          <c:showSerName val="0"/>
          <c:showPercent val="0"/>
          <c:showBubbleSize val="0"/>
        </c:dLbls>
        <c:smooth val="0"/>
        <c:axId val="861393856"/>
        <c:axId val="861397184"/>
      </c:lineChart>
      <c:catAx>
        <c:axId val="861393856"/>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61397184"/>
        <c:crosses val="autoZero"/>
        <c:auto val="1"/>
        <c:lblAlgn val="ctr"/>
        <c:lblOffset val="100"/>
        <c:noMultiLvlLbl val="0"/>
      </c:catAx>
      <c:valAx>
        <c:axId val="8613971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61393856"/>
        <c:crosses val="autoZero"/>
        <c:crossBetween val="between"/>
      </c:valAx>
      <c:spPr>
        <a:noFill/>
        <a:ln>
          <a:solidFill>
            <a:sysClr val="windowText" lastClr="000000"/>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'Graphique 37'!$C$7</c:f>
              <c:strCache>
                <c:ptCount val="1"/>
                <c:pt idx="0">
                  <c:v>Postes offerts</c:v>
                </c:pt>
              </c:strCache>
            </c:strRef>
          </c:tx>
          <c:spPr>
            <a:ln w="28575" cap="rnd">
              <a:solidFill>
                <a:schemeClr val="accent1"/>
              </a:solidFill>
              <a:round/>
            </a:ln>
            <a:effectLst/>
          </c:spPr>
          <c:marker>
            <c:symbol val="none"/>
          </c:marker>
          <c:cat>
            <c:numRef>
              <c:f>'Graphique 37'!$B$8:$B$31</c:f>
              <c:numCache>
                <c:formatCode>0</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'Graphique 37'!$C$8:$C$31</c:f>
              <c:numCache>
                <c:formatCode>#,##0</c:formatCode>
                <c:ptCount val="24"/>
                <c:pt idx="0">
                  <c:v>10074</c:v>
                </c:pt>
                <c:pt idx="1">
                  <c:v>10996</c:v>
                </c:pt>
                <c:pt idx="2">
                  <c:v>12000</c:v>
                </c:pt>
                <c:pt idx="3">
                  <c:v>12000</c:v>
                </c:pt>
                <c:pt idx="4">
                  <c:v>12940</c:v>
                </c:pt>
                <c:pt idx="5">
                  <c:v>12500</c:v>
                </c:pt>
                <c:pt idx="6">
                  <c:v>11000</c:v>
                </c:pt>
                <c:pt idx="7">
                  <c:v>10900</c:v>
                </c:pt>
                <c:pt idx="8">
                  <c:v>9874</c:v>
                </c:pt>
                <c:pt idx="9">
                  <c:v>7000</c:v>
                </c:pt>
                <c:pt idx="10">
                  <c:v>7000</c:v>
                </c:pt>
                <c:pt idx="11">
                  <c:v>3100</c:v>
                </c:pt>
                <c:pt idx="12">
                  <c:v>4903</c:v>
                </c:pt>
                <c:pt idx="13">
                  <c:v>8438</c:v>
                </c:pt>
                <c:pt idx="14">
                  <c:v>16867</c:v>
                </c:pt>
                <c:pt idx="15">
                  <c:v>11758</c:v>
                </c:pt>
                <c:pt idx="16">
                  <c:v>12688</c:v>
                </c:pt>
                <c:pt idx="17">
                  <c:v>12696</c:v>
                </c:pt>
                <c:pt idx="18">
                  <c:v>11489</c:v>
                </c:pt>
                <c:pt idx="19">
                  <c:v>10508</c:v>
                </c:pt>
                <c:pt idx="20">
                  <c:v>11062</c:v>
                </c:pt>
                <c:pt idx="21">
                  <c:v>9573</c:v>
                </c:pt>
                <c:pt idx="22">
                  <c:v>9448</c:v>
                </c:pt>
                <c:pt idx="23">
                  <c:v>9332</c:v>
                </c:pt>
              </c:numCache>
            </c:numRef>
          </c:val>
          <c:smooth val="0"/>
          <c:extLst>
            <c:ext xmlns:c16="http://schemas.microsoft.com/office/drawing/2014/chart" uri="{C3380CC4-5D6E-409C-BE32-E72D297353CC}">
              <c16:uniqueId val="{00000000-BF01-4596-B39C-92F8C5D225B8}"/>
            </c:ext>
          </c:extLst>
        </c:ser>
        <c:ser>
          <c:idx val="1"/>
          <c:order val="1"/>
          <c:tx>
            <c:strRef>
              <c:f>'Graphique 37'!$D$7</c:f>
              <c:strCache>
                <c:ptCount val="1"/>
                <c:pt idx="0">
                  <c:v>     Présents</c:v>
                </c:pt>
              </c:strCache>
            </c:strRef>
          </c:tx>
          <c:spPr>
            <a:ln w="28575" cap="rnd">
              <a:solidFill>
                <a:schemeClr val="accent3"/>
              </a:solidFill>
              <a:round/>
            </a:ln>
            <a:effectLst/>
          </c:spPr>
          <c:marker>
            <c:symbol val="none"/>
          </c:marker>
          <c:cat>
            <c:numRef>
              <c:f>'Graphique 37'!$B$8:$B$31</c:f>
              <c:numCache>
                <c:formatCode>0</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'Graphique 37'!$D$8:$D$31</c:f>
              <c:numCache>
                <c:formatCode>#,##0</c:formatCode>
                <c:ptCount val="24"/>
                <c:pt idx="0">
                  <c:v>47023</c:v>
                </c:pt>
                <c:pt idx="1">
                  <c:v>47244</c:v>
                </c:pt>
                <c:pt idx="2">
                  <c:v>54845</c:v>
                </c:pt>
                <c:pt idx="3">
                  <c:v>65977</c:v>
                </c:pt>
                <c:pt idx="4">
                  <c:v>65577</c:v>
                </c:pt>
                <c:pt idx="5">
                  <c:v>57324</c:v>
                </c:pt>
                <c:pt idx="6">
                  <c:v>55298</c:v>
                </c:pt>
                <c:pt idx="7">
                  <c:v>52672</c:v>
                </c:pt>
                <c:pt idx="8">
                  <c:v>48030</c:v>
                </c:pt>
                <c:pt idx="9">
                  <c:v>44907</c:v>
                </c:pt>
                <c:pt idx="10">
                  <c:v>37520</c:v>
                </c:pt>
                <c:pt idx="11">
                  <c:v>18136</c:v>
                </c:pt>
                <c:pt idx="12">
                  <c:v>18617</c:v>
                </c:pt>
                <c:pt idx="13">
                  <c:v>20548</c:v>
                </c:pt>
                <c:pt idx="14">
                  <c:v>52287</c:v>
                </c:pt>
                <c:pt idx="15">
                  <c:v>35882</c:v>
                </c:pt>
                <c:pt idx="16">
                  <c:v>36877</c:v>
                </c:pt>
                <c:pt idx="17">
                  <c:v>36987</c:v>
                </c:pt>
                <c:pt idx="18">
                  <c:v>38704</c:v>
                </c:pt>
                <c:pt idx="19">
                  <c:v>36297</c:v>
                </c:pt>
                <c:pt idx="20">
                  <c:v>35512</c:v>
                </c:pt>
                <c:pt idx="21">
                  <c:v>33133</c:v>
                </c:pt>
                <c:pt idx="22">
                  <c:v>18658</c:v>
                </c:pt>
                <c:pt idx="23" formatCode="General">
                  <c:v>23132</c:v>
                </c:pt>
              </c:numCache>
            </c:numRef>
          </c:val>
          <c:smooth val="0"/>
          <c:extLst>
            <c:ext xmlns:c16="http://schemas.microsoft.com/office/drawing/2014/chart" uri="{C3380CC4-5D6E-409C-BE32-E72D297353CC}">
              <c16:uniqueId val="{00000001-BF01-4596-B39C-92F8C5D225B8}"/>
            </c:ext>
          </c:extLst>
        </c:ser>
        <c:dLbls>
          <c:showLegendKey val="0"/>
          <c:showVal val="0"/>
          <c:showCatName val="0"/>
          <c:showSerName val="0"/>
          <c:showPercent val="0"/>
          <c:showBubbleSize val="0"/>
        </c:dLbls>
        <c:marker val="1"/>
        <c:smooth val="0"/>
        <c:axId val="1042737312"/>
        <c:axId val="1042740224"/>
      </c:lineChart>
      <c:lineChart>
        <c:grouping val="standard"/>
        <c:varyColors val="0"/>
        <c:ser>
          <c:idx val="2"/>
          <c:order val="2"/>
          <c:tx>
            <c:strRef>
              <c:f>'Graphique 37'!$F$7</c:f>
              <c:strCache>
                <c:ptCount val="1"/>
                <c:pt idx="0">
                  <c:v>Taux de sélectivité </c:v>
                </c:pt>
              </c:strCache>
            </c:strRef>
          </c:tx>
          <c:spPr>
            <a:ln w="28575" cap="rnd">
              <a:solidFill>
                <a:schemeClr val="accent5"/>
              </a:solidFill>
              <a:round/>
            </a:ln>
            <a:effectLst/>
          </c:spPr>
          <c:marker>
            <c:symbol val="none"/>
          </c:marker>
          <c:cat>
            <c:numRef>
              <c:f>'Graphique 37'!$B$8:$B$31</c:f>
              <c:numCache>
                <c:formatCode>0</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'Graphique 37'!$F$8:$F$31</c:f>
              <c:numCache>
                <c:formatCode>_-* #\ ##0_-;\-* #\ ##0_-;_-* "-"??_-;_-@_-</c:formatCode>
                <c:ptCount val="24"/>
                <c:pt idx="0">
                  <c:v>4.6677585864601943</c:v>
                </c:pt>
                <c:pt idx="1">
                  <c:v>4.2964714441615133</c:v>
                </c:pt>
                <c:pt idx="2">
                  <c:v>4.5704166666666666</c:v>
                </c:pt>
                <c:pt idx="3">
                  <c:v>5.4980833333333337</c:v>
                </c:pt>
                <c:pt idx="4">
                  <c:v>5.0677743431221023</c:v>
                </c:pt>
                <c:pt idx="5">
                  <c:v>4.5859199999999998</c:v>
                </c:pt>
                <c:pt idx="6">
                  <c:v>5.0270909090909095</c:v>
                </c:pt>
                <c:pt idx="7">
                  <c:v>4.8322935779816509</c:v>
                </c:pt>
                <c:pt idx="8">
                  <c:v>4.8642900546890822</c:v>
                </c:pt>
                <c:pt idx="9">
                  <c:v>6.415285714285714</c:v>
                </c:pt>
                <c:pt idx="10">
                  <c:v>5.36</c:v>
                </c:pt>
                <c:pt idx="11">
                  <c:v>5.8503225806451615</c:v>
                </c:pt>
                <c:pt idx="12">
                  <c:v>3.7970630226392004</c:v>
                </c:pt>
                <c:pt idx="13">
                  <c:v>2.4351742118985542</c:v>
                </c:pt>
                <c:pt idx="14">
                  <c:v>3.0999584988438964</c:v>
                </c:pt>
                <c:pt idx="15">
                  <c:v>3.0517094744004081</c:v>
                </c:pt>
                <c:pt idx="16">
                  <c:v>2.9064470365699875</c:v>
                </c:pt>
                <c:pt idx="17">
                  <c:v>2.9132797731569</c:v>
                </c:pt>
                <c:pt idx="18">
                  <c:v>3.3687875359039081</c:v>
                </c:pt>
                <c:pt idx="19">
                  <c:v>3.454225352112676</c:v>
                </c:pt>
                <c:pt idx="20">
                  <c:v>3.2102693907069244</c:v>
                </c:pt>
                <c:pt idx="21">
                  <c:v>3.4610884780110727</c:v>
                </c:pt>
                <c:pt idx="22">
                  <c:v>1.974809483488569</c:v>
                </c:pt>
                <c:pt idx="23">
                  <c:v>2.4787826832404631</c:v>
                </c:pt>
              </c:numCache>
            </c:numRef>
          </c:val>
          <c:smooth val="0"/>
          <c:extLst>
            <c:ext xmlns:c16="http://schemas.microsoft.com/office/drawing/2014/chart" uri="{C3380CC4-5D6E-409C-BE32-E72D297353CC}">
              <c16:uniqueId val="{00000002-BF01-4596-B39C-92F8C5D225B8}"/>
            </c:ext>
          </c:extLst>
        </c:ser>
        <c:dLbls>
          <c:showLegendKey val="0"/>
          <c:showVal val="0"/>
          <c:showCatName val="0"/>
          <c:showSerName val="0"/>
          <c:showPercent val="0"/>
          <c:showBubbleSize val="0"/>
        </c:dLbls>
        <c:marker val="1"/>
        <c:smooth val="0"/>
        <c:axId val="709525984"/>
        <c:axId val="1052824032"/>
      </c:lineChart>
      <c:catAx>
        <c:axId val="1042737312"/>
        <c:scaling>
          <c:orientation val="minMax"/>
        </c:scaling>
        <c:delete val="0"/>
        <c:axPos val="b"/>
        <c:numFmt formatCode="0"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42740224"/>
        <c:crosses val="autoZero"/>
        <c:auto val="1"/>
        <c:lblAlgn val="ctr"/>
        <c:lblOffset val="100"/>
        <c:noMultiLvlLbl val="0"/>
      </c:catAx>
      <c:valAx>
        <c:axId val="1042740224"/>
        <c:scaling>
          <c:orientation val="minMax"/>
          <c:max val="1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42737312"/>
        <c:crosses val="autoZero"/>
        <c:crossBetween val="between"/>
      </c:valAx>
      <c:valAx>
        <c:axId val="1052824032"/>
        <c:scaling>
          <c:orientation val="minMax"/>
          <c:max val="9"/>
        </c:scaling>
        <c:delete val="0"/>
        <c:axPos val="r"/>
        <c:numFmt formatCode="_-* #\ ##0_-;\-* #\ ##0_-;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9525984"/>
        <c:crosses val="max"/>
        <c:crossBetween val="between"/>
      </c:valAx>
      <c:catAx>
        <c:axId val="709525984"/>
        <c:scaling>
          <c:orientation val="minMax"/>
        </c:scaling>
        <c:delete val="1"/>
        <c:axPos val="b"/>
        <c:numFmt formatCode="0" sourceLinked="1"/>
        <c:majorTickMark val="out"/>
        <c:minorTickMark val="none"/>
        <c:tickLblPos val="nextTo"/>
        <c:crossAx val="1052824032"/>
        <c:crosses val="autoZero"/>
        <c:auto val="1"/>
        <c:lblAlgn val="ctr"/>
        <c:lblOffset val="100"/>
        <c:noMultiLvlLbl val="0"/>
      </c:catAx>
      <c:spPr>
        <a:noFill/>
        <a:ln>
          <a:solidFill>
            <a:sysClr val="windowText" lastClr="000000"/>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'Graphique 37'!$G$7</c:f>
              <c:strCache>
                <c:ptCount val="1"/>
                <c:pt idx="0">
                  <c:v>Postes offerts</c:v>
                </c:pt>
              </c:strCache>
            </c:strRef>
          </c:tx>
          <c:spPr>
            <a:ln w="28575" cap="rnd">
              <a:solidFill>
                <a:schemeClr val="accent1"/>
              </a:solidFill>
              <a:round/>
            </a:ln>
            <a:effectLst/>
          </c:spPr>
          <c:marker>
            <c:symbol val="none"/>
          </c:marker>
          <c:cat>
            <c:numRef>
              <c:f>'Graphique 37'!$B$8:$B$31</c:f>
              <c:numCache>
                <c:formatCode>0</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'Graphique 37'!$G$8:$G$31</c:f>
              <c:numCache>
                <c:formatCode>#,##0</c:formatCode>
                <c:ptCount val="24"/>
                <c:pt idx="0">
                  <c:v>12965</c:v>
                </c:pt>
                <c:pt idx="1">
                  <c:v>14335</c:v>
                </c:pt>
                <c:pt idx="2">
                  <c:v>17140</c:v>
                </c:pt>
                <c:pt idx="3">
                  <c:v>17140</c:v>
                </c:pt>
                <c:pt idx="4">
                  <c:v>11975</c:v>
                </c:pt>
                <c:pt idx="5">
                  <c:v>13475</c:v>
                </c:pt>
                <c:pt idx="6">
                  <c:v>9750</c:v>
                </c:pt>
                <c:pt idx="7">
                  <c:v>9750</c:v>
                </c:pt>
                <c:pt idx="8">
                  <c:v>8350</c:v>
                </c:pt>
                <c:pt idx="9">
                  <c:v>8350</c:v>
                </c:pt>
                <c:pt idx="10">
                  <c:v>8300</c:v>
                </c:pt>
                <c:pt idx="11">
                  <c:v>8275</c:v>
                </c:pt>
                <c:pt idx="12">
                  <c:v>8305</c:v>
                </c:pt>
                <c:pt idx="13">
                  <c:v>10632</c:v>
                </c:pt>
                <c:pt idx="14">
                  <c:v>20890</c:v>
                </c:pt>
                <c:pt idx="15">
                  <c:v>12609</c:v>
                </c:pt>
                <c:pt idx="16">
                  <c:v>13170</c:v>
                </c:pt>
                <c:pt idx="17">
                  <c:v>13040</c:v>
                </c:pt>
                <c:pt idx="18">
                  <c:v>10538</c:v>
                </c:pt>
                <c:pt idx="19">
                  <c:v>10180</c:v>
                </c:pt>
                <c:pt idx="20">
                  <c:v>10170</c:v>
                </c:pt>
                <c:pt idx="21">
                  <c:v>10160</c:v>
                </c:pt>
                <c:pt idx="22">
                  <c:v>10120</c:v>
                </c:pt>
                <c:pt idx="23">
                  <c:v>9583</c:v>
                </c:pt>
              </c:numCache>
            </c:numRef>
          </c:val>
          <c:smooth val="0"/>
          <c:extLst>
            <c:ext xmlns:c16="http://schemas.microsoft.com/office/drawing/2014/chart" uri="{C3380CC4-5D6E-409C-BE32-E72D297353CC}">
              <c16:uniqueId val="{00000000-D84E-4F0D-AE1A-D9587E2F2368}"/>
            </c:ext>
          </c:extLst>
        </c:ser>
        <c:ser>
          <c:idx val="1"/>
          <c:order val="1"/>
          <c:tx>
            <c:strRef>
              <c:f>'Graphique 37'!$H$7</c:f>
              <c:strCache>
                <c:ptCount val="1"/>
                <c:pt idx="0">
                  <c:v>     Présents</c:v>
                </c:pt>
              </c:strCache>
            </c:strRef>
          </c:tx>
          <c:spPr>
            <a:ln w="28575" cap="rnd">
              <a:solidFill>
                <a:schemeClr val="accent3"/>
              </a:solidFill>
              <a:round/>
            </a:ln>
            <a:effectLst/>
          </c:spPr>
          <c:marker>
            <c:symbol val="none"/>
          </c:marker>
          <c:cat>
            <c:numRef>
              <c:f>'Graphique 37'!$B$8:$B$31</c:f>
              <c:numCache>
                <c:formatCode>0</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'Graphique 37'!$H$8:$H$31</c:f>
              <c:numCache>
                <c:formatCode>#,##0</c:formatCode>
                <c:ptCount val="24"/>
                <c:pt idx="0">
                  <c:v>92279</c:v>
                </c:pt>
                <c:pt idx="1">
                  <c:v>89125</c:v>
                </c:pt>
                <c:pt idx="2">
                  <c:v>83727</c:v>
                </c:pt>
                <c:pt idx="3">
                  <c:v>81661</c:v>
                </c:pt>
                <c:pt idx="4">
                  <c:v>84055</c:v>
                </c:pt>
                <c:pt idx="5">
                  <c:v>80222</c:v>
                </c:pt>
                <c:pt idx="6">
                  <c:v>75907</c:v>
                </c:pt>
                <c:pt idx="7">
                  <c:v>64553</c:v>
                </c:pt>
                <c:pt idx="8">
                  <c:v>55410</c:v>
                </c:pt>
                <c:pt idx="9">
                  <c:v>49231</c:v>
                </c:pt>
                <c:pt idx="10">
                  <c:v>43954</c:v>
                </c:pt>
                <c:pt idx="11">
                  <c:v>26932</c:v>
                </c:pt>
                <c:pt idx="12">
                  <c:v>28556</c:v>
                </c:pt>
                <c:pt idx="13">
                  <c:v>32405</c:v>
                </c:pt>
                <c:pt idx="14">
                  <c:v>75118</c:v>
                </c:pt>
                <c:pt idx="15">
                  <c:v>42845</c:v>
                </c:pt>
                <c:pt idx="16">
                  <c:v>44846</c:v>
                </c:pt>
                <c:pt idx="17">
                  <c:v>45218</c:v>
                </c:pt>
                <c:pt idx="18">
                  <c:v>44229</c:v>
                </c:pt>
                <c:pt idx="19">
                  <c:v>42079</c:v>
                </c:pt>
                <c:pt idx="20">
                  <c:v>39357</c:v>
                </c:pt>
                <c:pt idx="21">
                  <c:v>39531</c:v>
                </c:pt>
                <c:pt idx="22">
                  <c:v>27000</c:v>
                </c:pt>
                <c:pt idx="23" formatCode="General">
                  <c:v>27360</c:v>
                </c:pt>
              </c:numCache>
            </c:numRef>
          </c:val>
          <c:smooth val="0"/>
          <c:extLst>
            <c:ext xmlns:c16="http://schemas.microsoft.com/office/drawing/2014/chart" uri="{C3380CC4-5D6E-409C-BE32-E72D297353CC}">
              <c16:uniqueId val="{00000001-D84E-4F0D-AE1A-D9587E2F2368}"/>
            </c:ext>
          </c:extLst>
        </c:ser>
        <c:dLbls>
          <c:showLegendKey val="0"/>
          <c:showVal val="0"/>
          <c:showCatName val="0"/>
          <c:showSerName val="0"/>
          <c:showPercent val="0"/>
          <c:showBubbleSize val="0"/>
        </c:dLbls>
        <c:marker val="1"/>
        <c:smooth val="0"/>
        <c:axId val="1042737312"/>
        <c:axId val="1042740224"/>
      </c:lineChart>
      <c:lineChart>
        <c:grouping val="standard"/>
        <c:varyColors val="0"/>
        <c:ser>
          <c:idx val="2"/>
          <c:order val="2"/>
          <c:tx>
            <c:strRef>
              <c:f>'Graphique 37'!$J$7</c:f>
              <c:strCache>
                <c:ptCount val="1"/>
                <c:pt idx="0">
                  <c:v>Taux de sélectivité </c:v>
                </c:pt>
              </c:strCache>
            </c:strRef>
          </c:tx>
          <c:spPr>
            <a:ln w="28575" cap="rnd">
              <a:solidFill>
                <a:schemeClr val="accent5"/>
              </a:solidFill>
              <a:round/>
            </a:ln>
            <a:effectLst/>
          </c:spPr>
          <c:marker>
            <c:symbol val="none"/>
          </c:marker>
          <c:cat>
            <c:numRef>
              <c:f>'Graphique 37'!$B$8:$B$31</c:f>
              <c:numCache>
                <c:formatCode>0</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'Graphique 37'!$J$8:$J$31</c:f>
              <c:numCache>
                <c:formatCode>_-* #\ ##0_-;\-* #\ ##0_-;_-* "-"??_-;_-@_-</c:formatCode>
                <c:ptCount val="24"/>
                <c:pt idx="0">
                  <c:v>7.1175472425761663</c:v>
                </c:pt>
                <c:pt idx="1">
                  <c:v>6.2173003139169865</c:v>
                </c:pt>
                <c:pt idx="2">
                  <c:v>4.8848891481913652</c:v>
                </c:pt>
                <c:pt idx="3">
                  <c:v>4.7643523920653443</c:v>
                </c:pt>
                <c:pt idx="4">
                  <c:v>7.019206680584551</c:v>
                </c:pt>
                <c:pt idx="5">
                  <c:v>5.953395176252319</c:v>
                </c:pt>
                <c:pt idx="6">
                  <c:v>7.785333333333333</c:v>
                </c:pt>
                <c:pt idx="7">
                  <c:v>6.6208205128205124</c:v>
                </c:pt>
                <c:pt idx="8">
                  <c:v>6.635928143712575</c:v>
                </c:pt>
                <c:pt idx="9">
                  <c:v>5.8959281437125748</c:v>
                </c:pt>
                <c:pt idx="10">
                  <c:v>5.2956626506024094</c:v>
                </c:pt>
                <c:pt idx="11">
                  <c:v>3.2546223564954682</c:v>
                </c:pt>
                <c:pt idx="12">
                  <c:v>3.4384105960264901</c:v>
                </c:pt>
                <c:pt idx="13">
                  <c:v>3.0478743416102332</c:v>
                </c:pt>
                <c:pt idx="14">
                  <c:v>3.5958831977022498</c:v>
                </c:pt>
                <c:pt idx="15">
                  <c:v>3.3979697041795545</c:v>
                </c:pt>
                <c:pt idx="16">
                  <c:v>3.4051632498101747</c:v>
                </c:pt>
                <c:pt idx="17">
                  <c:v>3.4676380368098161</c:v>
                </c:pt>
                <c:pt idx="18">
                  <c:v>4.1970962231922568</c:v>
                </c:pt>
                <c:pt idx="19">
                  <c:v>4.1334970530451862</c:v>
                </c:pt>
                <c:pt idx="20">
                  <c:v>3.8699115044247789</c:v>
                </c:pt>
                <c:pt idx="21">
                  <c:v>3.8908464566929135</c:v>
                </c:pt>
                <c:pt idx="22">
                  <c:v>2.6679841897233203</c:v>
                </c:pt>
                <c:pt idx="23">
                  <c:v>2.8550558280288012</c:v>
                </c:pt>
              </c:numCache>
            </c:numRef>
          </c:val>
          <c:smooth val="0"/>
          <c:extLst>
            <c:ext xmlns:c16="http://schemas.microsoft.com/office/drawing/2014/chart" uri="{C3380CC4-5D6E-409C-BE32-E72D297353CC}">
              <c16:uniqueId val="{00000002-D84E-4F0D-AE1A-D9587E2F2368}"/>
            </c:ext>
          </c:extLst>
        </c:ser>
        <c:dLbls>
          <c:showLegendKey val="0"/>
          <c:showVal val="0"/>
          <c:showCatName val="0"/>
          <c:showSerName val="0"/>
          <c:showPercent val="0"/>
          <c:showBubbleSize val="0"/>
        </c:dLbls>
        <c:marker val="1"/>
        <c:smooth val="0"/>
        <c:axId val="709525984"/>
        <c:axId val="1052824032"/>
      </c:lineChart>
      <c:catAx>
        <c:axId val="1042737312"/>
        <c:scaling>
          <c:orientation val="minMax"/>
        </c:scaling>
        <c:delete val="0"/>
        <c:axPos val="b"/>
        <c:numFmt formatCode="0"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42740224"/>
        <c:crosses val="autoZero"/>
        <c:auto val="1"/>
        <c:lblAlgn val="ctr"/>
        <c:lblOffset val="100"/>
        <c:noMultiLvlLbl val="0"/>
      </c:catAx>
      <c:valAx>
        <c:axId val="1042740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42737312"/>
        <c:crosses val="autoZero"/>
        <c:crossBetween val="between"/>
      </c:valAx>
      <c:valAx>
        <c:axId val="1052824032"/>
        <c:scaling>
          <c:orientation val="minMax"/>
        </c:scaling>
        <c:delete val="0"/>
        <c:axPos val="r"/>
        <c:numFmt formatCode="_-* #\ ##0_-;\-* #\ ##0_-;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9525984"/>
        <c:crosses val="max"/>
        <c:crossBetween val="between"/>
      </c:valAx>
      <c:catAx>
        <c:axId val="709525984"/>
        <c:scaling>
          <c:orientation val="minMax"/>
        </c:scaling>
        <c:delete val="1"/>
        <c:axPos val="b"/>
        <c:numFmt formatCode="0" sourceLinked="1"/>
        <c:majorTickMark val="out"/>
        <c:minorTickMark val="none"/>
        <c:tickLblPos val="nextTo"/>
        <c:crossAx val="1052824032"/>
        <c:crosses val="autoZero"/>
        <c:auto val="1"/>
        <c:lblAlgn val="ctr"/>
        <c:lblOffset val="100"/>
        <c:noMultiLvlLbl val="0"/>
      </c:catAx>
      <c:spPr>
        <a:noFill/>
        <a:ln>
          <a:solidFill>
            <a:sysClr val="windowText" lastClr="000000"/>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'Graphique 38'!$B$7</c:f>
              <c:strCache>
                <c:ptCount val="1"/>
                <c:pt idx="0">
                  <c:v>Concours externes </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dPt>
            <c:idx val="10"/>
            <c:marker>
              <c:symbol val="none"/>
            </c:marker>
            <c:bubble3D val="0"/>
            <c:spPr>
              <a:ln w="28575" cap="rnd">
                <a:solidFill>
                  <a:schemeClr val="accent1"/>
                </a:solidFill>
                <a:prstDash val="sysDot"/>
                <a:round/>
              </a:ln>
              <a:effectLst/>
            </c:spPr>
            <c:extLst>
              <c:ext xmlns:c16="http://schemas.microsoft.com/office/drawing/2014/chart" uri="{C3380CC4-5D6E-409C-BE32-E72D297353CC}">
                <c16:uniqueId val="{00000001-2FEA-43FA-8FB0-3A3F33E414EC}"/>
              </c:ext>
            </c:extLst>
          </c:dPt>
          <c:dPt>
            <c:idx val="11"/>
            <c:marker>
              <c:symbol val="triangle"/>
              <c:size val="5"/>
              <c:spPr>
                <a:solidFill>
                  <a:schemeClr val="accent1"/>
                </a:solidFill>
                <a:ln w="9525">
                  <a:solidFill>
                    <a:schemeClr val="accent1"/>
                  </a:solidFill>
                  <a:prstDash val="sysDot"/>
                </a:ln>
                <a:effectLst/>
              </c:spPr>
            </c:marker>
            <c:bubble3D val="0"/>
            <c:spPr>
              <a:ln w="28575" cap="rnd">
                <a:solidFill>
                  <a:schemeClr val="accent1"/>
                </a:solidFill>
                <a:prstDash val="sysDot"/>
                <a:round/>
              </a:ln>
              <a:effectLst/>
            </c:spPr>
            <c:extLst>
              <c:ext xmlns:c16="http://schemas.microsoft.com/office/drawing/2014/chart" uri="{C3380CC4-5D6E-409C-BE32-E72D297353CC}">
                <c16:uniqueId val="{00000003-2FEA-43FA-8FB0-3A3F33E414EC}"/>
              </c:ext>
            </c:extLst>
          </c:dPt>
          <c:cat>
            <c:strRef>
              <c:f>'Graphique 38'!$C$6:$N$6</c:f>
              <c:strCache>
                <c:ptCount val="12"/>
                <c:pt idx="0">
                  <c:v>2011</c:v>
                </c:pt>
                <c:pt idx="1">
                  <c:v>2012</c:v>
                </c:pt>
                <c:pt idx="2">
                  <c:v>2013</c:v>
                </c:pt>
                <c:pt idx="3">
                  <c:v>2014</c:v>
                </c:pt>
                <c:pt idx="4">
                  <c:v>2015</c:v>
                </c:pt>
                <c:pt idx="5">
                  <c:v>2016</c:v>
                </c:pt>
                <c:pt idx="6">
                  <c:v>2017</c:v>
                </c:pt>
                <c:pt idx="7">
                  <c:v>2018</c:v>
                </c:pt>
                <c:pt idx="8">
                  <c:v>2019</c:v>
                </c:pt>
                <c:pt idx="9">
                  <c:v>2020</c:v>
                </c:pt>
                <c:pt idx="10">
                  <c:v>2021 (2)</c:v>
                </c:pt>
                <c:pt idx="11">
                  <c:v>2022</c:v>
                </c:pt>
              </c:strCache>
            </c:strRef>
          </c:cat>
          <c:val>
            <c:numRef>
              <c:f>'Graphique 38'!$C$7:$N$7</c:f>
              <c:numCache>
                <c:formatCode>_-* #\ ##0.0_-;\-* #\ ##0.0_-;_-* "-"??_-;_-@_-</c:formatCode>
                <c:ptCount val="12"/>
                <c:pt idx="0">
                  <c:v>5.6295601008685896</c:v>
                </c:pt>
                <c:pt idx="1">
                  <c:v>5.5831164497831161</c:v>
                </c:pt>
                <c:pt idx="2">
                  <c:v>5.3569285283474057</c:v>
                </c:pt>
                <c:pt idx="3">
                  <c:v>5.220271763864508</c:v>
                </c:pt>
                <c:pt idx="4">
                  <c:v>5.2357964825939058</c:v>
                </c:pt>
                <c:pt idx="5">
                  <c:v>6.7010974822466105</c:v>
                </c:pt>
                <c:pt idx="6">
                  <c:v>4.3085302644294119</c:v>
                </c:pt>
                <c:pt idx="7">
                  <c:v>4.5852503944855076</c:v>
                </c:pt>
                <c:pt idx="8">
                  <c:v>4.8641080869394946</c:v>
                </c:pt>
                <c:pt idx="9">
                  <c:v>2.5580485467901628</c:v>
                </c:pt>
                <c:pt idx="10">
                  <c:v>3.028075969504326</c:v>
                </c:pt>
                <c:pt idx="11">
                  <c:v>3.4981033922184892</c:v>
                </c:pt>
              </c:numCache>
            </c:numRef>
          </c:val>
          <c:smooth val="0"/>
          <c:extLst>
            <c:ext xmlns:c16="http://schemas.microsoft.com/office/drawing/2014/chart" uri="{C3380CC4-5D6E-409C-BE32-E72D297353CC}">
              <c16:uniqueId val="{00000000-3722-45DA-877A-92B85C871FB0}"/>
            </c:ext>
          </c:extLst>
        </c:ser>
        <c:ser>
          <c:idx val="1"/>
          <c:order val="1"/>
          <c:tx>
            <c:strRef>
              <c:f>'Graphique 38'!$B$8</c:f>
              <c:strCache>
                <c:ptCount val="1"/>
                <c:pt idx="0">
                  <c:v>Concours externes y.c troisième concours et concours unique</c:v>
                </c:pt>
              </c:strCache>
            </c:strRef>
          </c:tx>
          <c:spPr>
            <a:ln w="28575" cap="rnd">
              <a:solidFill>
                <a:schemeClr val="accent3"/>
              </a:solidFill>
              <a:round/>
            </a:ln>
            <a:effectLst/>
          </c:spPr>
          <c:marker>
            <c:symbol val="triangle"/>
            <c:size val="5"/>
            <c:spPr>
              <a:solidFill>
                <a:schemeClr val="accent3"/>
              </a:solidFill>
              <a:ln w="9525">
                <a:solidFill>
                  <a:schemeClr val="accent3"/>
                </a:solidFill>
              </a:ln>
              <a:effectLst/>
            </c:spPr>
          </c:marker>
          <c:dPt>
            <c:idx val="10"/>
            <c:marker>
              <c:symbol val="none"/>
            </c:marker>
            <c:bubble3D val="0"/>
            <c:spPr>
              <a:ln w="28575" cap="rnd">
                <a:solidFill>
                  <a:schemeClr val="accent3"/>
                </a:solidFill>
                <a:prstDash val="sysDot"/>
                <a:round/>
              </a:ln>
              <a:effectLst/>
            </c:spPr>
            <c:extLst>
              <c:ext xmlns:c16="http://schemas.microsoft.com/office/drawing/2014/chart" uri="{C3380CC4-5D6E-409C-BE32-E72D297353CC}">
                <c16:uniqueId val="{00000000-2FEA-43FA-8FB0-3A3F33E414EC}"/>
              </c:ext>
            </c:extLst>
          </c:dPt>
          <c:dPt>
            <c:idx val="11"/>
            <c:marker>
              <c:symbol val="triangle"/>
              <c:size val="5"/>
              <c:spPr>
                <a:solidFill>
                  <a:schemeClr val="accent3"/>
                </a:solidFill>
                <a:ln w="9525">
                  <a:solidFill>
                    <a:schemeClr val="accent3"/>
                  </a:solidFill>
                </a:ln>
                <a:effectLst/>
              </c:spPr>
            </c:marker>
            <c:bubble3D val="0"/>
            <c:spPr>
              <a:ln w="28575" cap="rnd">
                <a:solidFill>
                  <a:schemeClr val="accent3"/>
                </a:solidFill>
                <a:prstDash val="sysDot"/>
                <a:round/>
              </a:ln>
              <a:effectLst/>
            </c:spPr>
            <c:extLst>
              <c:ext xmlns:c16="http://schemas.microsoft.com/office/drawing/2014/chart" uri="{C3380CC4-5D6E-409C-BE32-E72D297353CC}">
                <c16:uniqueId val="{00000002-2FEA-43FA-8FB0-3A3F33E414EC}"/>
              </c:ext>
            </c:extLst>
          </c:dPt>
          <c:cat>
            <c:strRef>
              <c:f>'Graphique 38'!$C$6:$N$6</c:f>
              <c:strCache>
                <c:ptCount val="12"/>
                <c:pt idx="0">
                  <c:v>2011</c:v>
                </c:pt>
                <c:pt idx="1">
                  <c:v>2012</c:v>
                </c:pt>
                <c:pt idx="2">
                  <c:v>2013</c:v>
                </c:pt>
                <c:pt idx="3">
                  <c:v>2014</c:v>
                </c:pt>
                <c:pt idx="4">
                  <c:v>2015</c:v>
                </c:pt>
                <c:pt idx="5">
                  <c:v>2016</c:v>
                </c:pt>
                <c:pt idx="6">
                  <c:v>2017</c:v>
                </c:pt>
                <c:pt idx="7">
                  <c:v>2018</c:v>
                </c:pt>
                <c:pt idx="8">
                  <c:v>2019</c:v>
                </c:pt>
                <c:pt idx="9">
                  <c:v>2020</c:v>
                </c:pt>
                <c:pt idx="10">
                  <c:v>2021 (2)</c:v>
                </c:pt>
                <c:pt idx="11">
                  <c:v>2022</c:v>
                </c:pt>
              </c:strCache>
            </c:strRef>
          </c:cat>
          <c:val>
            <c:numRef>
              <c:f>'Graphique 38'!$C$8:$N$8</c:f>
              <c:numCache>
                <c:formatCode>_-* #\ ##0.0_-;\-* #\ ##0.0_-;_-* "-"??_-;_-@_-</c:formatCode>
                <c:ptCount val="12"/>
                <c:pt idx="0">
                  <c:v>5.3571359046112663</c:v>
                </c:pt>
                <c:pt idx="1">
                  <c:v>5.2696842839699984</c:v>
                </c:pt>
                <c:pt idx="2">
                  <c:v>5.1339252584150534</c:v>
                </c:pt>
                <c:pt idx="3">
                  <c:v>4.9412965050732804</c:v>
                </c:pt>
                <c:pt idx="4">
                  <c:v>5.110183533010451</c:v>
                </c:pt>
                <c:pt idx="5">
                  <c:v>6.4086785747685404</c:v>
                </c:pt>
                <c:pt idx="6">
                  <c:v>4.0979852799048402</c:v>
                </c:pt>
                <c:pt idx="7">
                  <c:v>4.4742335290280497</c:v>
                </c:pt>
                <c:pt idx="8">
                  <c:v>4.6196422544718194</c:v>
                </c:pt>
                <c:pt idx="9">
                  <c:v>2.8863976083707024</c:v>
                </c:pt>
                <c:pt idx="10">
                  <c:v>3.1308509780983949</c:v>
                </c:pt>
                <c:pt idx="11">
                  <c:v>3.3753043478260869</c:v>
                </c:pt>
              </c:numCache>
            </c:numRef>
          </c:val>
          <c:smooth val="0"/>
          <c:extLst>
            <c:ext xmlns:c16="http://schemas.microsoft.com/office/drawing/2014/chart" uri="{C3380CC4-5D6E-409C-BE32-E72D297353CC}">
              <c16:uniqueId val="{00000001-3722-45DA-877A-92B85C871FB0}"/>
            </c:ext>
          </c:extLst>
        </c:ser>
        <c:dLbls>
          <c:showLegendKey val="0"/>
          <c:showVal val="0"/>
          <c:showCatName val="0"/>
          <c:showSerName val="0"/>
          <c:showPercent val="0"/>
          <c:showBubbleSize val="0"/>
        </c:dLbls>
        <c:marker val="1"/>
        <c:smooth val="0"/>
        <c:axId val="979529504"/>
        <c:axId val="979526592"/>
      </c:lineChart>
      <c:catAx>
        <c:axId val="979529504"/>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9526592"/>
        <c:crosses val="autoZero"/>
        <c:auto val="1"/>
        <c:lblAlgn val="ctr"/>
        <c:lblOffset val="100"/>
        <c:noMultiLvlLbl val="0"/>
      </c:catAx>
      <c:valAx>
        <c:axId val="979526592"/>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_-* #\ ##0.0_-;\-* #\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9529504"/>
        <c:crosses val="autoZero"/>
        <c:crossBetween val="between"/>
      </c:valAx>
      <c:spPr>
        <a:noFill/>
        <a:ln>
          <a:solidFill>
            <a:sysClr val="windowText" lastClr="000000"/>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Catégorie 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8.1058154148587663E-2"/>
          <c:y val="0.18928889035275517"/>
          <c:w val="0.83788369170282473"/>
          <c:h val="0.61183295541889782"/>
        </c:manualLayout>
      </c:layout>
      <c:lineChart>
        <c:grouping val="standard"/>
        <c:varyColors val="0"/>
        <c:ser>
          <c:idx val="0"/>
          <c:order val="0"/>
          <c:tx>
            <c:strRef>
              <c:f>'Graphique 39'!$B$6</c:f>
              <c:strCache>
                <c:ptCount val="1"/>
                <c:pt idx="0">
                  <c:v>FPT hors Ville de Paris</c:v>
                </c:pt>
              </c:strCache>
            </c:strRef>
          </c:tx>
          <c:spPr>
            <a:ln w="28575" cap="rnd">
              <a:solidFill>
                <a:schemeClr val="accent1"/>
              </a:solidFill>
              <a:round/>
            </a:ln>
            <a:effectLst/>
          </c:spPr>
          <c:marker>
            <c:symbol val="none"/>
          </c:marker>
          <c:cat>
            <c:numRef>
              <c:f>'Graphique 39'!$D$5:$O$5</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'Graphique 39'!$D$7:$O$7</c:f>
              <c:numCache>
                <c:formatCode>0</c:formatCode>
                <c:ptCount val="12"/>
                <c:pt idx="0">
                  <c:v>6</c:v>
                </c:pt>
                <c:pt idx="1">
                  <c:v>4.5999999999999996</c:v>
                </c:pt>
                <c:pt idx="2">
                  <c:v>6.1</c:v>
                </c:pt>
                <c:pt idx="3">
                  <c:v>5</c:v>
                </c:pt>
                <c:pt idx="4">
                  <c:v>5.86131544785807</c:v>
                </c:pt>
                <c:pt idx="5">
                  <c:v>5</c:v>
                </c:pt>
                <c:pt idx="6">
                  <c:v>5.6</c:v>
                </c:pt>
                <c:pt idx="7">
                  <c:v>3.581308777429467</c:v>
                </c:pt>
                <c:pt idx="8">
                  <c:v>5.9861058956064586</c:v>
                </c:pt>
                <c:pt idx="9">
                  <c:v>3.8402930402930404</c:v>
                </c:pt>
                <c:pt idx="10">
                  <c:v>4.7505020080321287</c:v>
                </c:pt>
                <c:pt idx="11">
                  <c:v>4.1701957009945456</c:v>
                </c:pt>
              </c:numCache>
            </c:numRef>
          </c:val>
          <c:smooth val="0"/>
          <c:extLst>
            <c:ext xmlns:c16="http://schemas.microsoft.com/office/drawing/2014/chart" uri="{C3380CC4-5D6E-409C-BE32-E72D297353CC}">
              <c16:uniqueId val="{00000000-6EDE-4858-94C4-DC0F5F853255}"/>
            </c:ext>
          </c:extLst>
        </c:ser>
        <c:ser>
          <c:idx val="1"/>
          <c:order val="1"/>
          <c:tx>
            <c:strRef>
              <c:f>'Graphique 39'!$B$9</c:f>
              <c:strCache>
                <c:ptCount val="1"/>
                <c:pt idx="0">
                  <c:v>Ville de Paris (1)
</c:v>
                </c:pt>
              </c:strCache>
            </c:strRef>
          </c:tx>
          <c:spPr>
            <a:ln w="28575" cap="rnd">
              <a:solidFill>
                <a:schemeClr val="accent3"/>
              </a:solidFill>
              <a:round/>
            </a:ln>
            <a:effectLst/>
          </c:spPr>
          <c:marker>
            <c:symbol val="none"/>
          </c:marker>
          <c:cat>
            <c:numRef>
              <c:f>'Graphique 39'!$D$5:$O$5</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'Graphique 39'!$D$10:$O$10</c:f>
              <c:numCache>
                <c:formatCode>0</c:formatCode>
                <c:ptCount val="12"/>
                <c:pt idx="0">
                  <c:v>9.9</c:v>
                </c:pt>
                <c:pt idx="1">
                  <c:v>8.3000000000000007</c:v>
                </c:pt>
                <c:pt idx="2">
                  <c:v>16.899999999999999</c:v>
                </c:pt>
                <c:pt idx="3">
                  <c:v>12.2</c:v>
                </c:pt>
                <c:pt idx="4">
                  <c:v>11.988326848249027</c:v>
                </c:pt>
                <c:pt idx="5">
                  <c:v>12.1</c:v>
                </c:pt>
                <c:pt idx="6">
                  <c:v>11.1</c:v>
                </c:pt>
                <c:pt idx="7">
                  <c:v>4.6926952141057932</c:v>
                </c:pt>
                <c:pt idx="8">
                  <c:v>8.9252873563218387</c:v>
                </c:pt>
                <c:pt idx="9">
                  <c:v>7.9488372093023258</c:v>
                </c:pt>
                <c:pt idx="10">
                  <c:v>6.7241379310344831</c:v>
                </c:pt>
                <c:pt idx="11">
                  <c:v>6.5388601036269431</c:v>
                </c:pt>
              </c:numCache>
            </c:numRef>
          </c:val>
          <c:smooth val="0"/>
          <c:extLst>
            <c:ext xmlns:c16="http://schemas.microsoft.com/office/drawing/2014/chart" uri="{C3380CC4-5D6E-409C-BE32-E72D297353CC}">
              <c16:uniqueId val="{00000001-6EDE-4858-94C4-DC0F5F853255}"/>
            </c:ext>
          </c:extLst>
        </c:ser>
        <c:dLbls>
          <c:showLegendKey val="0"/>
          <c:showVal val="0"/>
          <c:showCatName val="0"/>
          <c:showSerName val="0"/>
          <c:showPercent val="0"/>
          <c:showBubbleSize val="0"/>
        </c:dLbls>
        <c:smooth val="0"/>
        <c:axId val="1237137872"/>
        <c:axId val="1237130800"/>
      </c:lineChart>
      <c:catAx>
        <c:axId val="1237137872"/>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37130800"/>
        <c:crosses val="autoZero"/>
        <c:auto val="1"/>
        <c:lblAlgn val="ctr"/>
        <c:lblOffset val="100"/>
        <c:noMultiLvlLbl val="0"/>
      </c:catAx>
      <c:valAx>
        <c:axId val="1237130800"/>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37137872"/>
        <c:crosses val="autoZero"/>
        <c:crossBetween val="between"/>
        <c:majorUnit val="5"/>
      </c:valAx>
      <c:spPr>
        <a:noFill/>
        <a:ln>
          <a:solidFill>
            <a:sysClr val="windowText" lastClr="000000"/>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Catégorie 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7.0555555555555552E-2"/>
          <c:y val="0.18692182539682539"/>
          <c:w val="0.85888888888888892"/>
          <c:h val="0.61441535548736703"/>
        </c:manualLayout>
      </c:layout>
      <c:lineChart>
        <c:grouping val="standard"/>
        <c:varyColors val="0"/>
        <c:ser>
          <c:idx val="0"/>
          <c:order val="0"/>
          <c:spPr>
            <a:ln w="28575" cap="rnd">
              <a:solidFill>
                <a:schemeClr val="accent1"/>
              </a:solidFill>
              <a:round/>
            </a:ln>
            <a:effectLst/>
          </c:spPr>
          <c:marker>
            <c:symbol val="none"/>
          </c:marker>
          <c:cat>
            <c:numRef>
              <c:f>'Graphique 39'!$D$5:$O$5</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'Graphique 39'!$D$8:$O$8</c:f>
              <c:numCache>
                <c:formatCode>0</c:formatCode>
                <c:ptCount val="12"/>
                <c:pt idx="0">
                  <c:v>6.6</c:v>
                </c:pt>
                <c:pt idx="1">
                  <c:v>6.7</c:v>
                </c:pt>
                <c:pt idx="2">
                  <c:v>6.6</c:v>
                </c:pt>
                <c:pt idx="3">
                  <c:v>7.3</c:v>
                </c:pt>
                <c:pt idx="4">
                  <c:v>6.7715717201707184</c:v>
                </c:pt>
                <c:pt idx="5">
                  <c:v>9.6</c:v>
                </c:pt>
                <c:pt idx="6">
                  <c:v>4.0999999999999996</c:v>
                </c:pt>
                <c:pt idx="7">
                  <c:v>7.8220463207270594</c:v>
                </c:pt>
                <c:pt idx="8">
                  <c:v>7.6606113033448677</c:v>
                </c:pt>
                <c:pt idx="9">
                  <c:v>5.3665530948324811</c:v>
                </c:pt>
                <c:pt idx="10">
                  <c:v>4.6438039457459928</c:v>
                </c:pt>
                <c:pt idx="11">
                  <c:v>5.2785531187695813</c:v>
                </c:pt>
              </c:numCache>
            </c:numRef>
          </c:val>
          <c:smooth val="0"/>
          <c:extLst>
            <c:ext xmlns:c16="http://schemas.microsoft.com/office/drawing/2014/chart" uri="{C3380CC4-5D6E-409C-BE32-E72D297353CC}">
              <c16:uniqueId val="{00000000-4860-49BD-8B0D-CCB5C32AF9EF}"/>
            </c:ext>
          </c:extLst>
        </c:ser>
        <c:ser>
          <c:idx val="1"/>
          <c:order val="1"/>
          <c:spPr>
            <a:ln w="28575" cap="rnd">
              <a:solidFill>
                <a:schemeClr val="accent3"/>
              </a:solidFill>
              <a:round/>
            </a:ln>
            <a:effectLst/>
          </c:spPr>
          <c:marker>
            <c:symbol val="none"/>
          </c:marker>
          <c:cat>
            <c:numRef>
              <c:f>'Graphique 39'!$D$5:$O$5</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'Graphique 39'!$D$11:$O$11</c:f>
              <c:numCache>
                <c:formatCode>0</c:formatCode>
                <c:ptCount val="12"/>
                <c:pt idx="0">
                  <c:v>5.5</c:v>
                </c:pt>
                <c:pt idx="1">
                  <c:v>9.9</c:v>
                </c:pt>
                <c:pt idx="2">
                  <c:v>8.1</c:v>
                </c:pt>
                <c:pt idx="3">
                  <c:v>7.1</c:v>
                </c:pt>
                <c:pt idx="4">
                  <c:v>8.218146718146718</c:v>
                </c:pt>
                <c:pt idx="5">
                  <c:v>13.5</c:v>
                </c:pt>
                <c:pt idx="6">
                  <c:v>9.1999999999999993</c:v>
                </c:pt>
                <c:pt idx="7">
                  <c:v>9.4372469635627532</c:v>
                </c:pt>
                <c:pt idx="8">
                  <c:v>5.1790123456790127</c:v>
                </c:pt>
                <c:pt idx="9">
                  <c:v>5.1783783783783788</c:v>
                </c:pt>
                <c:pt idx="10">
                  <c:v>4.6792452830188678</c:v>
                </c:pt>
                <c:pt idx="11">
                  <c:v>2.9373996789727128</c:v>
                </c:pt>
              </c:numCache>
            </c:numRef>
          </c:val>
          <c:smooth val="0"/>
          <c:extLst>
            <c:ext xmlns:c16="http://schemas.microsoft.com/office/drawing/2014/chart" uri="{C3380CC4-5D6E-409C-BE32-E72D297353CC}">
              <c16:uniqueId val="{00000001-4860-49BD-8B0D-CCB5C32AF9EF}"/>
            </c:ext>
          </c:extLst>
        </c:ser>
        <c:dLbls>
          <c:showLegendKey val="0"/>
          <c:showVal val="0"/>
          <c:showCatName val="0"/>
          <c:showSerName val="0"/>
          <c:showPercent val="0"/>
          <c:showBubbleSize val="0"/>
        </c:dLbls>
        <c:smooth val="0"/>
        <c:axId val="1237137872"/>
        <c:axId val="1237130800"/>
      </c:lineChart>
      <c:catAx>
        <c:axId val="1237137872"/>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37130800"/>
        <c:crosses val="autoZero"/>
        <c:auto val="1"/>
        <c:lblAlgn val="ctr"/>
        <c:lblOffset val="100"/>
        <c:noMultiLvlLbl val="0"/>
      </c:catAx>
      <c:valAx>
        <c:axId val="1237130800"/>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37137872"/>
        <c:crosses val="autoZero"/>
        <c:crossBetween val="between"/>
      </c:valAx>
      <c:spPr>
        <a:noFill/>
        <a:ln>
          <a:solidFill>
            <a:sysClr val="windowText" lastClr="000000"/>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Catégorie 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8.1058154148587663E-2"/>
          <c:y val="0.18928889035275517"/>
          <c:w val="0.83788369170282473"/>
          <c:h val="0.60486535803849517"/>
        </c:manualLayout>
      </c:layout>
      <c:lineChart>
        <c:grouping val="standard"/>
        <c:varyColors val="0"/>
        <c:ser>
          <c:idx val="0"/>
          <c:order val="0"/>
          <c:tx>
            <c:strRef>
              <c:f>'Graphique 39'!$B$6</c:f>
              <c:strCache>
                <c:ptCount val="1"/>
                <c:pt idx="0">
                  <c:v>FPT hors Ville de Paris</c:v>
                </c:pt>
              </c:strCache>
            </c:strRef>
          </c:tx>
          <c:spPr>
            <a:ln w="28575" cap="rnd">
              <a:solidFill>
                <a:schemeClr val="accent1"/>
              </a:solidFill>
              <a:round/>
            </a:ln>
            <a:effectLst/>
          </c:spPr>
          <c:marker>
            <c:symbol val="none"/>
          </c:marker>
          <c:cat>
            <c:numRef>
              <c:f>'Graphique 39'!$D$5:$O$5</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'Graphique 39'!$D$6:$O$6</c:f>
              <c:numCache>
                <c:formatCode>0</c:formatCode>
                <c:ptCount val="12"/>
                <c:pt idx="0">
                  <c:v>6.2</c:v>
                </c:pt>
                <c:pt idx="1">
                  <c:v>7</c:v>
                </c:pt>
                <c:pt idx="2">
                  <c:v>3.9</c:v>
                </c:pt>
                <c:pt idx="3">
                  <c:v>6.3</c:v>
                </c:pt>
                <c:pt idx="4">
                  <c:v>3.6410590277777777</c:v>
                </c:pt>
                <c:pt idx="5">
                  <c:v>6.5</c:v>
                </c:pt>
                <c:pt idx="6">
                  <c:v>3.8</c:v>
                </c:pt>
                <c:pt idx="7">
                  <c:v>5.3023606228026114</c:v>
                </c:pt>
                <c:pt idx="8">
                  <c:v>3.1976237623762378</c:v>
                </c:pt>
                <c:pt idx="9">
                  <c:v>4.33021483021483</c:v>
                </c:pt>
                <c:pt idx="10">
                  <c:v>3.5408062930186825</c:v>
                </c:pt>
                <c:pt idx="11">
                  <c:v>4.5570658542301379</c:v>
                </c:pt>
              </c:numCache>
            </c:numRef>
          </c:val>
          <c:smooth val="0"/>
          <c:extLst>
            <c:ext xmlns:c16="http://schemas.microsoft.com/office/drawing/2014/chart" uri="{C3380CC4-5D6E-409C-BE32-E72D297353CC}">
              <c16:uniqueId val="{00000000-21E2-4E1D-AAFC-CC86132D942E}"/>
            </c:ext>
          </c:extLst>
        </c:ser>
        <c:ser>
          <c:idx val="1"/>
          <c:order val="1"/>
          <c:tx>
            <c:strRef>
              <c:f>'Graphique 39'!$B$9</c:f>
              <c:strCache>
                <c:ptCount val="1"/>
                <c:pt idx="0">
                  <c:v>Ville de Paris (1)
</c:v>
                </c:pt>
              </c:strCache>
            </c:strRef>
          </c:tx>
          <c:spPr>
            <a:ln w="28575" cap="rnd">
              <a:solidFill>
                <a:schemeClr val="accent3"/>
              </a:solidFill>
              <a:round/>
            </a:ln>
            <a:effectLst/>
          </c:spPr>
          <c:marker>
            <c:symbol val="none"/>
          </c:marker>
          <c:cat>
            <c:numRef>
              <c:f>'Graphique 39'!$D$5:$O$5</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'Graphique 39'!$D$9:$O$9</c:f>
              <c:numCache>
                <c:formatCode>0</c:formatCode>
                <c:ptCount val="12"/>
                <c:pt idx="0">
                  <c:v>13.6</c:v>
                </c:pt>
                <c:pt idx="1">
                  <c:v>18.3</c:v>
                </c:pt>
                <c:pt idx="2">
                  <c:v>8.5</c:v>
                </c:pt>
                <c:pt idx="3">
                  <c:v>8.1</c:v>
                </c:pt>
                <c:pt idx="4">
                  <c:v>9.7666666666666675</c:v>
                </c:pt>
                <c:pt idx="5">
                  <c:v>9.1999999999999993</c:v>
                </c:pt>
                <c:pt idx="6">
                  <c:v>5.4</c:v>
                </c:pt>
                <c:pt idx="7">
                  <c:v>8.3090909090909086</c:v>
                </c:pt>
                <c:pt idx="8">
                  <c:v>3.1691729323308269</c:v>
                </c:pt>
                <c:pt idx="9">
                  <c:v>5.8367346938775508</c:v>
                </c:pt>
                <c:pt idx="10">
                  <c:v>4.2198275862068968</c:v>
                </c:pt>
                <c:pt idx="11">
                  <c:v>2.7507987220447285</c:v>
                </c:pt>
              </c:numCache>
            </c:numRef>
          </c:val>
          <c:smooth val="0"/>
          <c:extLst>
            <c:ext xmlns:c16="http://schemas.microsoft.com/office/drawing/2014/chart" uri="{C3380CC4-5D6E-409C-BE32-E72D297353CC}">
              <c16:uniqueId val="{00000001-21E2-4E1D-AAFC-CC86132D942E}"/>
            </c:ext>
          </c:extLst>
        </c:ser>
        <c:dLbls>
          <c:showLegendKey val="0"/>
          <c:showVal val="0"/>
          <c:showCatName val="0"/>
          <c:showSerName val="0"/>
          <c:showPercent val="0"/>
          <c:showBubbleSize val="0"/>
        </c:dLbls>
        <c:smooth val="0"/>
        <c:axId val="1237137872"/>
        <c:axId val="1237130800"/>
      </c:lineChart>
      <c:catAx>
        <c:axId val="1237137872"/>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37130800"/>
        <c:crosses val="autoZero"/>
        <c:auto val="1"/>
        <c:lblAlgn val="ctr"/>
        <c:lblOffset val="100"/>
        <c:noMultiLvlLbl val="0"/>
      </c:catAx>
      <c:valAx>
        <c:axId val="1237130800"/>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37137872"/>
        <c:crosses val="autoZero"/>
        <c:crossBetween val="between"/>
        <c:majorUnit val="5"/>
      </c:valAx>
      <c:spPr>
        <a:noFill/>
        <a:ln>
          <a:solidFill>
            <a:sysClr val="windowText" lastClr="000000"/>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'Graphique 40'!$B$7:$B$9</c:f>
              <c:strCache>
                <c:ptCount val="1"/>
                <c:pt idx="0">
                  <c:v>Instituts régionaux d'administration </c:v>
                </c:pt>
              </c:strCache>
            </c:strRef>
          </c:tx>
          <c:spPr>
            <a:ln w="19050" cap="rnd">
              <a:solidFill>
                <a:schemeClr val="accent1"/>
              </a:solidFill>
              <a:round/>
            </a:ln>
            <a:effectLst/>
          </c:spPr>
          <c:marker>
            <c:symbol val="triangle"/>
            <c:size val="5"/>
            <c:spPr>
              <a:solidFill>
                <a:schemeClr val="accent1"/>
              </a:solidFill>
              <a:ln w="9525">
                <a:solidFill>
                  <a:schemeClr val="accent1"/>
                </a:solidFill>
              </a:ln>
              <a:effectLst/>
            </c:spPr>
          </c:marker>
          <c:cat>
            <c:numRef>
              <c:f>'Graphique 40'!$D$6:$AC$6</c:f>
              <c:numCache>
                <c:formatCode>General</c:formatCode>
                <c:ptCount val="26"/>
                <c:pt idx="0">
                  <c:v>1997</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'Graphique 40'!$D$9:$AC$9</c:f>
              <c:numCache>
                <c:formatCode>_-* #\ ##0_-;\-* #\ ##0_-;_-* "-"??_-;_-@_-</c:formatCode>
                <c:ptCount val="26"/>
                <c:pt idx="3">
                  <c:v>6.2506738544474389</c:v>
                </c:pt>
                <c:pt idx="4">
                  <c:v>7.5972222222222223</c:v>
                </c:pt>
                <c:pt idx="5">
                  <c:v>6.9837837837837835</c:v>
                </c:pt>
                <c:pt idx="6">
                  <c:v>9.953623188405798</c:v>
                </c:pt>
                <c:pt idx="7">
                  <c:v>10.009925558312656</c:v>
                </c:pt>
                <c:pt idx="8">
                  <c:v>9.2935064935064933</c:v>
                </c:pt>
                <c:pt idx="9">
                  <c:v>6.6577777777777776</c:v>
                </c:pt>
                <c:pt idx="10">
                  <c:v>8.548295454545455</c:v>
                </c:pt>
                <c:pt idx="11">
                  <c:v>9.2378378378378372</c:v>
                </c:pt>
                <c:pt idx="12">
                  <c:v>9.1239436619718308</c:v>
                </c:pt>
                <c:pt idx="13">
                  <c:v>8.8285714285714292</c:v>
                </c:pt>
                <c:pt idx="14">
                  <c:v>9.14</c:v>
                </c:pt>
                <c:pt idx="15">
                  <c:v>9.4388059701492537</c:v>
                </c:pt>
                <c:pt idx="16">
                  <c:v>8.8985507246376816</c:v>
                </c:pt>
                <c:pt idx="17">
                  <c:v>8.0521739130434788</c:v>
                </c:pt>
                <c:pt idx="18">
                  <c:v>7.3783783783783781</c:v>
                </c:pt>
                <c:pt idx="19">
                  <c:v>6.8378378378378377</c:v>
                </c:pt>
                <c:pt idx="20">
                  <c:v>10.107317073170732</c:v>
                </c:pt>
                <c:pt idx="21">
                  <c:v>5.3853658536585369</c:v>
                </c:pt>
                <c:pt idx="22">
                  <c:v>11.522388059701493</c:v>
                </c:pt>
                <c:pt idx="23">
                  <c:v>9.024096385542169</c:v>
                </c:pt>
                <c:pt idx="24">
                  <c:v>8.6023809523809529</c:v>
                </c:pt>
                <c:pt idx="25">
                  <c:v>7.1670103092783508</c:v>
                </c:pt>
              </c:numCache>
            </c:numRef>
          </c:val>
          <c:smooth val="1"/>
          <c:extLst>
            <c:ext xmlns:c16="http://schemas.microsoft.com/office/drawing/2014/chart" uri="{C3380CC4-5D6E-409C-BE32-E72D297353CC}">
              <c16:uniqueId val="{00000000-4932-4088-B2A2-5D6A52EF70C0}"/>
            </c:ext>
          </c:extLst>
        </c:ser>
        <c:ser>
          <c:idx val="1"/>
          <c:order val="1"/>
          <c:tx>
            <c:strRef>
              <c:f>'Graphique 40'!$B$10:$B$12</c:f>
              <c:strCache>
                <c:ptCount val="1"/>
                <c:pt idx="0">
                  <c:v>Attaché territorial </c:v>
                </c:pt>
              </c:strCache>
            </c:strRef>
          </c:tx>
          <c:spPr>
            <a:ln w="19050" cap="rnd">
              <a:solidFill>
                <a:schemeClr val="accent3"/>
              </a:solidFill>
              <a:round/>
            </a:ln>
            <a:effectLst/>
          </c:spPr>
          <c:marker>
            <c:symbol val="triangle"/>
            <c:size val="5"/>
            <c:spPr>
              <a:solidFill>
                <a:schemeClr val="accent3"/>
              </a:solidFill>
              <a:ln w="9525">
                <a:solidFill>
                  <a:schemeClr val="accent3"/>
                </a:solidFill>
              </a:ln>
              <a:effectLst/>
            </c:spPr>
          </c:marker>
          <c:cat>
            <c:numRef>
              <c:f>'Graphique 40'!$D$6:$AC$6</c:f>
              <c:numCache>
                <c:formatCode>General</c:formatCode>
                <c:ptCount val="26"/>
                <c:pt idx="0">
                  <c:v>1997</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'Graphique 40'!$D$12:$AC$12</c:f>
              <c:numCache>
                <c:formatCode>_-* #\ ##0_-;\-* #\ ##0_-;_-* "-"??_-;_-@_-</c:formatCode>
                <c:ptCount val="26"/>
                <c:pt idx="0">
                  <c:v>9.5579227696404789</c:v>
                </c:pt>
                <c:pt idx="1">
                  <c:v>6.3753303964757713</c:v>
                </c:pt>
                <c:pt idx="2">
                  <c:v>6.5651063829787235</c:v>
                </c:pt>
                <c:pt idx="3">
                  <c:v>7.0454976303317531</c:v>
                </c:pt>
                <c:pt idx="4">
                  <c:v>6.4652137468566639</c:v>
                </c:pt>
                <c:pt idx="5">
                  <c:v>6.3729395604395602</c:v>
                </c:pt>
                <c:pt idx="6">
                  <c:v>7.6372180451127818</c:v>
                </c:pt>
                <c:pt idx="7">
                  <c:v>8.3460803059273427</c:v>
                </c:pt>
                <c:pt idx="8">
                  <c:v>8.6240753194351036</c:v>
                </c:pt>
                <c:pt idx="9">
                  <c:v>8.0232919254658377</c:v>
                </c:pt>
                <c:pt idx="10">
                  <c:v>7.331437855402112</c:v>
                </c:pt>
                <c:pt idx="11">
                  <c:v>7.3717627401837929</c:v>
                </c:pt>
                <c:pt idx="12">
                  <c:v>7.7156789197299327</c:v>
                </c:pt>
                <c:pt idx="13">
                  <c:v>8.0479323308270683</c:v>
                </c:pt>
                <c:pt idx="14">
                  <c:v>9.433910665451231</c:v>
                </c:pt>
                <c:pt idx="16">
                  <c:v>7.1961982348947728</c:v>
                </c:pt>
                <c:pt idx="18">
                  <c:v>6.4818763326226012</c:v>
                </c:pt>
                <c:pt idx="20">
                  <c:v>5.1117021276595747</c:v>
                </c:pt>
                <c:pt idx="22">
                  <c:v>4.4747081712062258</c:v>
                </c:pt>
                <c:pt idx="23">
                  <c:v>3.99205448354143</c:v>
                </c:pt>
                <c:pt idx="24">
                  <c:v>4.6600985221674875</c:v>
                </c:pt>
              </c:numCache>
            </c:numRef>
          </c:val>
          <c:smooth val="1"/>
          <c:extLst>
            <c:ext xmlns:c16="http://schemas.microsoft.com/office/drawing/2014/chart" uri="{C3380CC4-5D6E-409C-BE32-E72D297353CC}">
              <c16:uniqueId val="{00000001-4932-4088-B2A2-5D6A52EF70C0}"/>
            </c:ext>
          </c:extLst>
        </c:ser>
        <c:ser>
          <c:idx val="2"/>
          <c:order val="2"/>
          <c:tx>
            <c:strRef>
              <c:f>'Graphique 40'!$B$13:$B$15</c:f>
              <c:strCache>
                <c:ptCount val="1"/>
                <c:pt idx="0">
                  <c:v>Attaché d'administration hospitalière</c:v>
                </c:pt>
              </c:strCache>
            </c:strRef>
          </c:tx>
          <c:spPr>
            <a:ln w="19050" cap="rnd">
              <a:solidFill>
                <a:schemeClr val="accent5"/>
              </a:solidFill>
              <a:round/>
            </a:ln>
            <a:effectLst/>
          </c:spPr>
          <c:marker>
            <c:symbol val="triangle"/>
            <c:size val="5"/>
            <c:spPr>
              <a:solidFill>
                <a:schemeClr val="accent5"/>
              </a:solidFill>
              <a:ln w="9525">
                <a:solidFill>
                  <a:schemeClr val="accent5"/>
                </a:solidFill>
              </a:ln>
              <a:effectLst/>
            </c:spPr>
          </c:marker>
          <c:cat>
            <c:numRef>
              <c:f>'Graphique 40'!$D$6:$AC$6</c:f>
              <c:numCache>
                <c:formatCode>General</c:formatCode>
                <c:ptCount val="26"/>
                <c:pt idx="0">
                  <c:v>1997</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'Graphique 40'!$D$15:$AC$15</c:f>
              <c:numCache>
                <c:formatCode>_-* #\ ##0_-;\-* #\ ##0_-;_-* "-"??_-;_-@_-</c:formatCode>
                <c:ptCount val="26"/>
                <c:pt idx="4">
                  <c:v>5.3431372549019605</c:v>
                </c:pt>
                <c:pt idx="5">
                  <c:v>7.4487179487179489</c:v>
                </c:pt>
                <c:pt idx="6">
                  <c:v>11.564516129032258</c:v>
                </c:pt>
                <c:pt idx="8">
                  <c:v>10.161290322580646</c:v>
                </c:pt>
                <c:pt idx="9">
                  <c:v>8.6785714285714288</c:v>
                </c:pt>
                <c:pt idx="10">
                  <c:v>5.3902439024390247</c:v>
                </c:pt>
                <c:pt idx="11">
                  <c:v>15.733333333333333</c:v>
                </c:pt>
                <c:pt idx="12">
                  <c:v>11.521739130434783</c:v>
                </c:pt>
                <c:pt idx="13">
                  <c:v>11.8</c:v>
                </c:pt>
                <c:pt idx="14">
                  <c:v>5.3</c:v>
                </c:pt>
                <c:pt idx="15">
                  <c:v>6.2105263157894735</c:v>
                </c:pt>
                <c:pt idx="16">
                  <c:v>4.3015873015873014</c:v>
                </c:pt>
                <c:pt idx="17">
                  <c:v>4.3733333333333331</c:v>
                </c:pt>
                <c:pt idx="18">
                  <c:v>3.5384615384615383</c:v>
                </c:pt>
                <c:pt idx="19">
                  <c:v>2.1028037383177569</c:v>
                </c:pt>
                <c:pt idx="20">
                  <c:v>3.3829787234042552</c:v>
                </c:pt>
                <c:pt idx="21">
                  <c:v>3.4634146341463414</c:v>
                </c:pt>
                <c:pt idx="22">
                  <c:v>2.5333333333333332</c:v>
                </c:pt>
                <c:pt idx="23">
                  <c:v>3.16</c:v>
                </c:pt>
                <c:pt idx="24">
                  <c:v>2.7142857142857144</c:v>
                </c:pt>
                <c:pt idx="25">
                  <c:v>1.84</c:v>
                </c:pt>
              </c:numCache>
            </c:numRef>
          </c:val>
          <c:smooth val="1"/>
          <c:extLst>
            <c:ext xmlns:c16="http://schemas.microsoft.com/office/drawing/2014/chart" uri="{C3380CC4-5D6E-409C-BE32-E72D297353CC}">
              <c16:uniqueId val="{00000002-4932-4088-B2A2-5D6A52EF70C0}"/>
            </c:ext>
          </c:extLst>
        </c:ser>
        <c:dLbls>
          <c:showLegendKey val="0"/>
          <c:showVal val="0"/>
          <c:showCatName val="0"/>
          <c:showSerName val="0"/>
          <c:showPercent val="0"/>
          <c:showBubbleSize val="0"/>
        </c:dLbls>
        <c:marker val="1"/>
        <c:smooth val="0"/>
        <c:axId val="1257222656"/>
        <c:axId val="1257223488"/>
      </c:lineChart>
      <c:catAx>
        <c:axId val="1257222656"/>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7223488"/>
        <c:crosses val="autoZero"/>
        <c:auto val="1"/>
        <c:lblAlgn val="ctr"/>
        <c:lblOffset val="100"/>
        <c:noMultiLvlLbl val="0"/>
      </c:catAx>
      <c:valAx>
        <c:axId val="1257223488"/>
        <c:scaling>
          <c:orientation val="minMax"/>
          <c:max val="16"/>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7222656"/>
        <c:crosses val="autoZero"/>
        <c:crossBetween val="between"/>
      </c:valAx>
      <c:spPr>
        <a:noFill/>
        <a:ln>
          <a:solidFill>
            <a:sysClr val="windowText" lastClr="000000"/>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539588801399819E-2"/>
          <c:y val="5.0925925925925923E-2"/>
          <c:w val="0.88590485564304466"/>
          <c:h val="0.73403470399533388"/>
        </c:manualLayout>
      </c:layout>
      <c:lineChart>
        <c:grouping val="standard"/>
        <c:varyColors val="0"/>
        <c:ser>
          <c:idx val="0"/>
          <c:order val="0"/>
          <c:tx>
            <c:strRef>
              <c:f>'Graphique 41'!$C$7</c:f>
              <c:strCache>
                <c:ptCount val="1"/>
                <c:pt idx="0">
                  <c:v>Secteur privé </c:v>
                </c:pt>
              </c:strCache>
            </c:strRef>
          </c:tx>
          <c:spPr>
            <a:ln w="28575" cap="rnd">
              <a:solidFill>
                <a:sysClr val="windowText" lastClr="000000"/>
              </a:solidFill>
              <a:round/>
            </a:ln>
            <a:effectLst/>
          </c:spPr>
          <c:marker>
            <c:symbol val="triangle"/>
            <c:size val="5"/>
            <c:spPr>
              <a:solidFill>
                <a:schemeClr val="tx1"/>
              </a:solidFill>
              <a:ln w="9525">
                <a:solidFill>
                  <a:sysClr val="windowText" lastClr="000000"/>
                </a:solidFill>
              </a:ln>
              <a:effectLst/>
            </c:spPr>
          </c:marker>
          <c:cat>
            <c:numRef>
              <c:f>'Graphique 41'!$B$8:$B$18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'Graphique 41'!$C$8:$C$18</c:f>
              <c:numCache>
                <c:formatCode>_-* #\ ##0_-;\-* #\ ##0_-;_-* "-"??_-;_-@_-</c:formatCode>
                <c:ptCount val="11"/>
                <c:pt idx="0">
                  <c:v>35.901793261770379</c:v>
                </c:pt>
                <c:pt idx="1">
                  <c:v>33.553348118531602</c:v>
                </c:pt>
                <c:pt idx="2">
                  <c:v>33.803817412611792</c:v>
                </c:pt>
                <c:pt idx="3">
                  <c:v>38.781369804382457</c:v>
                </c:pt>
                <c:pt idx="4">
                  <c:v>45.972155688936205</c:v>
                </c:pt>
                <c:pt idx="5">
                  <c:v>51.600126751597266</c:v>
                </c:pt>
                <c:pt idx="6">
                  <c:v>52.361792758886274</c:v>
                </c:pt>
                <c:pt idx="7">
                  <c:v>45.541041486809895</c:v>
                </c:pt>
                <c:pt idx="8">
                  <c:v>58.873269771998586</c:v>
                </c:pt>
                <c:pt idx="9">
                  <c:v>61.79100918557068</c:v>
                </c:pt>
                <c:pt idx="10">
                  <c:v>58.057093286543193</c:v>
                </c:pt>
              </c:numCache>
            </c:numRef>
          </c:val>
          <c:smooth val="0"/>
          <c:extLst>
            <c:ext xmlns:c16="http://schemas.microsoft.com/office/drawing/2014/chart" uri="{C3380CC4-5D6E-409C-BE32-E72D297353CC}">
              <c16:uniqueId val="{00000000-6048-41E9-83A6-86A71BAE91D3}"/>
            </c:ext>
          </c:extLst>
        </c:ser>
        <c:ser>
          <c:idx val="1"/>
          <c:order val="1"/>
          <c:tx>
            <c:strRef>
              <c:f>'Graphique 41'!$D$7</c:f>
              <c:strCache>
                <c:ptCount val="1"/>
                <c:pt idx="0">
                  <c:v>Fonction publique territoriale </c:v>
                </c:pt>
              </c:strCache>
            </c:strRef>
          </c:tx>
          <c:spPr>
            <a:ln w="28575" cap="rnd">
              <a:solidFill>
                <a:schemeClr val="accent6">
                  <a:lumMod val="75000"/>
                </a:schemeClr>
              </a:solidFill>
              <a:round/>
            </a:ln>
            <a:effectLst/>
          </c:spPr>
          <c:marker>
            <c:symbol val="triangle"/>
            <c:size val="5"/>
            <c:spPr>
              <a:solidFill>
                <a:schemeClr val="accent6">
                  <a:lumMod val="75000"/>
                </a:schemeClr>
              </a:solidFill>
              <a:ln w="9525">
                <a:solidFill>
                  <a:schemeClr val="accent6">
                    <a:lumMod val="75000"/>
                  </a:schemeClr>
                </a:solidFill>
              </a:ln>
              <a:effectLst/>
            </c:spPr>
          </c:marker>
          <c:cat>
            <c:numRef>
              <c:f>'Graphique 41'!$B$8:$B$18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'Graphique 41'!$D$8:$D$18</c:f>
              <c:numCache>
                <c:formatCode>0</c:formatCode>
                <c:ptCount val="11"/>
                <c:pt idx="0">
                  <c:v>19.815510745759809</c:v>
                </c:pt>
                <c:pt idx="1">
                  <c:v>18.542524524757031</c:v>
                </c:pt>
                <c:pt idx="2">
                  <c:v>15.065509881372856</c:v>
                </c:pt>
                <c:pt idx="3">
                  <c:v>20.753969289269264</c:v>
                </c:pt>
                <c:pt idx="4">
                  <c:v>22.995129162860565</c:v>
                </c:pt>
                <c:pt idx="5">
                  <c:v>27.816154209303118</c:v>
                </c:pt>
                <c:pt idx="6">
                  <c:v>32.820302466843607</c:v>
                </c:pt>
                <c:pt idx="7">
                  <c:v>31.401347746383067</c:v>
                </c:pt>
                <c:pt idx="8">
                  <c:v>41.96815138378053</c:v>
                </c:pt>
                <c:pt idx="9">
                  <c:v>46.121204436804376</c:v>
                </c:pt>
                <c:pt idx="10">
                  <c:v>46.313319907473506</c:v>
                </c:pt>
              </c:numCache>
            </c:numRef>
          </c:val>
          <c:smooth val="0"/>
          <c:extLst>
            <c:ext xmlns:c16="http://schemas.microsoft.com/office/drawing/2014/chart" uri="{C3380CC4-5D6E-409C-BE32-E72D297353CC}">
              <c16:uniqueId val="{00000001-6048-41E9-83A6-86A71BAE91D3}"/>
            </c:ext>
          </c:extLst>
        </c:ser>
        <c:ser>
          <c:idx val="2"/>
          <c:order val="2"/>
          <c:tx>
            <c:strRef>
              <c:f>'Graphique 41'!$E$7</c:f>
              <c:strCache>
                <c:ptCount val="1"/>
                <c:pt idx="0">
                  <c:v>Fonction publique hospitalière </c:v>
                </c:pt>
              </c:strCache>
            </c:strRef>
          </c:tx>
          <c:spPr>
            <a:ln w="28575" cap="rnd">
              <a:solidFill>
                <a:schemeClr val="accent4"/>
              </a:solidFill>
              <a:round/>
            </a:ln>
            <a:effectLst/>
          </c:spPr>
          <c:marker>
            <c:symbol val="triangle"/>
            <c:size val="5"/>
            <c:spPr>
              <a:solidFill>
                <a:schemeClr val="accent4"/>
              </a:solidFill>
              <a:ln w="9525">
                <a:solidFill>
                  <a:schemeClr val="accent4"/>
                </a:solidFill>
              </a:ln>
              <a:effectLst/>
            </c:spPr>
          </c:marker>
          <c:cat>
            <c:numRef>
              <c:f>'Graphique 41'!$B$8:$B$18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'Graphique 41'!$E$8:$E$18</c:f>
              <c:numCache>
                <c:formatCode>0</c:formatCode>
                <c:ptCount val="11"/>
                <c:pt idx="0">
                  <c:v>19.039552484728322</c:v>
                </c:pt>
                <c:pt idx="1">
                  <c:v>16.092689982627014</c:v>
                </c:pt>
                <c:pt idx="2">
                  <c:v>16.689059757180143</c:v>
                </c:pt>
                <c:pt idx="3">
                  <c:v>21.605199926618749</c:v>
                </c:pt>
                <c:pt idx="4">
                  <c:v>31.025213891260083</c:v>
                </c:pt>
                <c:pt idx="5">
                  <c:v>44.885689661666213</c:v>
                </c:pt>
                <c:pt idx="6">
                  <c:v>50.432097895748598</c:v>
                </c:pt>
                <c:pt idx="7">
                  <c:v>57.539379224555255</c:v>
                </c:pt>
                <c:pt idx="8">
                  <c:v>64.525389690221701</c:v>
                </c:pt>
                <c:pt idx="9">
                  <c:v>67.361117400342252</c:v>
                </c:pt>
                <c:pt idx="10">
                  <c:v>59.350306869600345</c:v>
                </c:pt>
              </c:numCache>
            </c:numRef>
          </c:val>
          <c:smooth val="0"/>
          <c:extLst>
            <c:ext xmlns:c16="http://schemas.microsoft.com/office/drawing/2014/chart" uri="{C3380CC4-5D6E-409C-BE32-E72D297353CC}">
              <c16:uniqueId val="{00000002-6048-41E9-83A6-86A71BAE91D3}"/>
            </c:ext>
          </c:extLst>
        </c:ser>
        <c:dLbls>
          <c:showLegendKey val="0"/>
          <c:showVal val="0"/>
          <c:showCatName val="0"/>
          <c:showSerName val="0"/>
          <c:showPercent val="0"/>
          <c:showBubbleSize val="0"/>
        </c:dLbls>
        <c:marker val="1"/>
        <c:smooth val="0"/>
        <c:axId val="1114308224"/>
        <c:axId val="1114317376"/>
      </c:lineChart>
      <c:catAx>
        <c:axId val="1114308224"/>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14317376"/>
        <c:crosses val="autoZero"/>
        <c:auto val="1"/>
        <c:lblAlgn val="ctr"/>
        <c:lblOffset val="100"/>
        <c:noMultiLvlLbl val="0"/>
      </c:catAx>
      <c:valAx>
        <c:axId val="1114317376"/>
        <c:scaling>
          <c:orientation val="minMax"/>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14308224"/>
        <c:crosses val="autoZero"/>
        <c:crossBetween val="between"/>
      </c:valAx>
      <c:spPr>
        <a:noFill/>
        <a:ln>
          <a:solidFill>
            <a:sysClr val="windowText" lastClr="000000"/>
          </a:solidFill>
        </a:ln>
        <a:effectLst/>
      </c:spPr>
    </c:plotArea>
    <c:legend>
      <c:legendPos val="b"/>
      <c:layout>
        <c:manualLayout>
          <c:xMode val="edge"/>
          <c:yMode val="edge"/>
          <c:x val="8.8713910761154652E-4"/>
          <c:y val="0.86458223972003501"/>
          <c:w val="0.99911286089238849"/>
          <c:h val="0.107639982502187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206029786839219E-2"/>
          <c:y val="2.1392454297938544E-2"/>
          <c:w val="0.88849454481264978"/>
          <c:h val="0.88916105440145532"/>
        </c:manualLayout>
      </c:layout>
      <c:bubbleChart>
        <c:varyColors val="0"/>
        <c:ser>
          <c:idx val="0"/>
          <c:order val="0"/>
          <c:spPr>
            <a:solidFill>
              <a:schemeClr val="accent4">
                <a:lumMod val="20000"/>
                <a:lumOff val="80000"/>
              </a:schemeClr>
            </a:solidFill>
            <a:ln>
              <a:noFill/>
            </a:ln>
            <a:effectLst/>
          </c:spPr>
          <c:invertIfNegative val="0"/>
          <c:dLbls>
            <c:dLbl>
              <c:idx val="0"/>
              <c:tx>
                <c:rich>
                  <a:bodyPr/>
                  <a:lstStyle/>
                  <a:p>
                    <a:fld id="{F8C92A30-9781-4E48-B505-019E1D3EA3B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3EB-4D1B-9DFA-21BFFAD89082}"/>
                </c:ext>
              </c:extLst>
            </c:dLbl>
            <c:dLbl>
              <c:idx val="1"/>
              <c:layout>
                <c:manualLayout>
                  <c:x val="-0.18874458874458874"/>
                  <c:y val="-0.1346389228886169"/>
                </c:manualLayout>
              </c:layout>
              <c:tx>
                <c:rich>
                  <a:bodyPr/>
                  <a:lstStyle/>
                  <a:p>
                    <a:fld id="{DABB58DB-58C0-4B2C-8CD1-E9B2CD893A23}"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3EB-4D1B-9DFA-21BFFAD89082}"/>
                </c:ext>
              </c:extLst>
            </c:dLbl>
            <c:dLbl>
              <c:idx val="2"/>
              <c:layout>
                <c:manualLayout>
                  <c:x val="-0.11867953292009242"/>
                  <c:y val="-7.4340601129476921E-2"/>
                </c:manualLayout>
              </c:layout>
              <c:tx>
                <c:rich>
                  <a:bodyPr/>
                  <a:lstStyle/>
                  <a:p>
                    <a:fld id="{370EC0F8-D14D-46CE-A88C-B1660C080FF3}"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manualLayout>
                      <c:w val="0.12047621714836615"/>
                      <c:h val="6.4885385405722307E-2"/>
                    </c:manualLayout>
                  </c15:layout>
                  <c15:dlblFieldTable/>
                  <c15:showDataLabelsRange val="1"/>
                </c:ext>
                <c:ext xmlns:c16="http://schemas.microsoft.com/office/drawing/2014/chart" uri="{C3380CC4-5D6E-409C-BE32-E72D297353CC}">
                  <c16:uniqueId val="{00000002-F3EB-4D1B-9DFA-21BFFAD89082}"/>
                </c:ext>
              </c:extLst>
            </c:dLbl>
            <c:dLbl>
              <c:idx val="3"/>
              <c:layout>
                <c:manualLayout>
                  <c:x val="-8.658008658008658E-3"/>
                  <c:y val="4.2839657282741736E-2"/>
                </c:manualLayout>
              </c:layout>
              <c:tx>
                <c:rich>
                  <a:bodyPr/>
                  <a:lstStyle/>
                  <a:p>
                    <a:fld id="{2A488365-11D0-4B7E-A219-93C77F74647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F3EB-4D1B-9DFA-21BFFAD89082}"/>
                </c:ext>
              </c:extLst>
            </c:dLbl>
            <c:dLbl>
              <c:idx val="4"/>
              <c:layout>
                <c:manualLayout>
                  <c:x val="-5.1948051948051948E-3"/>
                  <c:y val="-1.8359853121175107E-2"/>
                </c:manualLayout>
              </c:layout>
              <c:tx>
                <c:rich>
                  <a:bodyPr/>
                  <a:lstStyle/>
                  <a:p>
                    <a:fld id="{4BD5330A-D5E0-4022-A85B-DFA5F18E0C2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F3EB-4D1B-9DFA-21BFFAD89082}"/>
                </c:ext>
              </c:extLst>
            </c:dLbl>
            <c:dLbl>
              <c:idx val="5"/>
              <c:layout>
                <c:manualLayout>
                  <c:x val="-0.24968995616387521"/>
                  <c:y val="-2.7894129697662452E-2"/>
                </c:manualLayout>
              </c:layout>
              <c:tx>
                <c:rich>
                  <a:bodyPr/>
                  <a:lstStyle/>
                  <a:p>
                    <a:fld id="{BA8FA345-6801-4476-A8C1-0A4E48B1F21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F3EB-4D1B-9DFA-21BFFAD89082}"/>
                </c:ext>
              </c:extLst>
            </c:dLbl>
            <c:dLbl>
              <c:idx val="6"/>
              <c:layout>
                <c:manualLayout>
                  <c:x val="8.7226703147736361E-3"/>
                  <c:y val="-2.0304667277785526E-2"/>
                </c:manualLayout>
              </c:layout>
              <c:tx>
                <c:rich>
                  <a:bodyPr/>
                  <a:lstStyle/>
                  <a:p>
                    <a:fld id="{4951CDD3-1753-4B6B-B9DD-2B9F5B12227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F3EB-4D1B-9DFA-21BFFAD89082}"/>
                </c:ext>
              </c:extLst>
            </c:dLbl>
            <c:dLbl>
              <c:idx val="7"/>
              <c:layout>
                <c:manualLayout>
                  <c:x val="-0.11467406924614086"/>
                  <c:y val="5.8584418414455622E-2"/>
                </c:manualLayout>
              </c:layout>
              <c:tx>
                <c:rich>
                  <a:bodyPr/>
                  <a:lstStyle/>
                  <a:p>
                    <a:fld id="{F17BACCF-9BF6-415D-A8CE-5CB685790A5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F3EB-4D1B-9DFA-21BFFAD89082}"/>
                </c:ext>
              </c:extLst>
            </c:dLbl>
            <c:dLbl>
              <c:idx val="8"/>
              <c:tx>
                <c:rich>
                  <a:bodyPr/>
                  <a:lstStyle/>
                  <a:p>
                    <a:fld id="{B59E7D9B-9C49-4FF2-8EF8-C481F36DE0C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F3EB-4D1B-9DFA-21BFFAD89082}"/>
                </c:ext>
              </c:extLst>
            </c:dLbl>
            <c:dLbl>
              <c:idx val="9"/>
              <c:layout>
                <c:manualLayout>
                  <c:x val="-5.1948051948051979E-2"/>
                  <c:y val="-6.1199510403916767E-2"/>
                </c:manualLayout>
              </c:layout>
              <c:tx>
                <c:rich>
                  <a:bodyPr/>
                  <a:lstStyle/>
                  <a:p>
                    <a:fld id="{1CC5EA1B-B4BD-445E-87C9-BB9E26F27E2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F3EB-4D1B-9DFA-21BFFAD89082}"/>
                </c:ext>
              </c:extLst>
            </c:dLbl>
            <c:dLbl>
              <c:idx val="10"/>
              <c:layout>
                <c:manualLayout>
                  <c:x val="6.9264069264068631E-3"/>
                  <c:y val="-2.4479804161566709E-2"/>
                </c:manualLayout>
              </c:layout>
              <c:tx>
                <c:rich>
                  <a:bodyPr/>
                  <a:lstStyle/>
                  <a:p>
                    <a:fld id="{60DA8ACB-ACBD-4B11-A579-20C070B91EA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F3EB-4D1B-9DFA-21BFFAD89082}"/>
                </c:ext>
              </c:extLst>
            </c:dLbl>
            <c:dLbl>
              <c:idx val="11"/>
              <c:layout>
                <c:manualLayout>
                  <c:x val="-1.038961038961039E-2"/>
                  <c:y val="-2.4479804161566709E-2"/>
                </c:manualLayout>
              </c:layout>
              <c:tx>
                <c:rich>
                  <a:bodyPr/>
                  <a:lstStyle/>
                  <a:p>
                    <a:fld id="{7A6CD480-4FD0-4885-9A86-D38D444B86F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F3EB-4D1B-9DFA-21BFFAD89082}"/>
                </c:ext>
              </c:extLst>
            </c:dLbl>
            <c:dLbl>
              <c:idx val="12"/>
              <c:layout>
                <c:manualLayout>
                  <c:x val="0.14891774891774892"/>
                  <c:y val="3.0599755201958311E-2"/>
                </c:manualLayout>
              </c:layout>
              <c:tx>
                <c:rich>
                  <a:bodyPr/>
                  <a:lstStyle/>
                  <a:p>
                    <a:fld id="{978FE67A-F868-4B89-8470-3D194408E9C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F3EB-4D1B-9DFA-21BFFAD89082}"/>
                </c:ext>
              </c:extLst>
            </c:dLbl>
            <c:dLbl>
              <c:idx val="13"/>
              <c:tx>
                <c:rich>
                  <a:bodyPr/>
                  <a:lstStyle/>
                  <a:p>
                    <a:fld id="{B97B1CB5-7D80-4F63-B593-713AEF8411D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F3EB-4D1B-9DFA-21BFFAD89082}"/>
                </c:ext>
              </c:extLst>
            </c:dLbl>
            <c:dLbl>
              <c:idx val="14"/>
              <c:layout>
                <c:manualLayout>
                  <c:x val="-4.2631876127303549E-2"/>
                  <c:y val="-8.1973755985353849E-2"/>
                </c:manualLayout>
              </c:layout>
              <c:tx>
                <c:rich>
                  <a:bodyPr/>
                  <a:lstStyle/>
                  <a:p>
                    <a:fld id="{DDF00510-40FB-474F-9D92-75D34084143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F3EB-4D1B-9DFA-21BFFAD89082}"/>
                </c:ext>
              </c:extLst>
            </c:dLbl>
            <c:dLbl>
              <c:idx val="15"/>
              <c:layout>
                <c:manualLayout>
                  <c:x val="-0.15930735930735931"/>
                  <c:y val="-5.5079559363525127E-2"/>
                </c:manualLayout>
              </c:layout>
              <c:tx>
                <c:rich>
                  <a:bodyPr/>
                  <a:lstStyle/>
                  <a:p>
                    <a:fld id="{A1F7D208-4F9D-480F-895E-23D5F283AB2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F3EB-4D1B-9DFA-21BFFAD89082}"/>
                </c:ext>
              </c:extLst>
            </c:dLbl>
            <c:dLbl>
              <c:idx val="16"/>
              <c:layout>
                <c:manualLayout>
                  <c:x val="-1.5584415584415584E-2"/>
                  <c:y val="3.6719706242350061E-2"/>
                </c:manualLayout>
              </c:layout>
              <c:tx>
                <c:rich>
                  <a:bodyPr/>
                  <a:lstStyle/>
                  <a:p>
                    <a:fld id="{4D1ACFC6-8398-4990-9C05-A7B68B3128F3}"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F3EB-4D1B-9DFA-21BFFAD89082}"/>
                </c:ext>
              </c:extLst>
            </c:dLbl>
            <c:dLbl>
              <c:idx val="17"/>
              <c:tx>
                <c:rich>
                  <a:bodyPr/>
                  <a:lstStyle/>
                  <a:p>
                    <a:fld id="{BD407754-7417-4271-AC14-722548A8D82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F3EB-4D1B-9DFA-21BFFAD89082}"/>
                </c:ext>
              </c:extLst>
            </c:dLbl>
            <c:dLbl>
              <c:idx val="18"/>
              <c:layout>
                <c:manualLayout>
                  <c:x val="4.1558441558441496E-2"/>
                  <c:y val="1.223990208078328E-2"/>
                </c:manualLayout>
              </c:layout>
              <c:tx>
                <c:rich>
                  <a:bodyPr/>
                  <a:lstStyle/>
                  <a:p>
                    <a:fld id="{A77DB93F-0677-47AB-895E-D7034420AF3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F3EB-4D1B-9DFA-21BFFAD89082}"/>
                </c:ext>
              </c:extLst>
            </c:dLbl>
            <c:dLbl>
              <c:idx val="19"/>
              <c:layout>
                <c:manualLayout>
                  <c:x val="3.4632034632034315E-3"/>
                  <c:y val="4.4879640962872294E-2"/>
                </c:manualLayout>
              </c:layout>
              <c:tx>
                <c:rich>
                  <a:bodyPr/>
                  <a:lstStyle/>
                  <a:p>
                    <a:fld id="{67875534-4A15-43B6-B69B-6A17F11D806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F3EB-4D1B-9DFA-21BFFAD89082}"/>
                </c:ext>
              </c:extLst>
            </c:dLbl>
            <c:dLbl>
              <c:idx val="20"/>
              <c:layout>
                <c:manualLayout>
                  <c:x val="-2.4242424242424305E-2"/>
                  <c:y val="-4.2839657282741736E-2"/>
                </c:manualLayout>
              </c:layout>
              <c:tx>
                <c:rich>
                  <a:bodyPr/>
                  <a:lstStyle/>
                  <a:p>
                    <a:fld id="{15B2DB2C-5327-471E-BCAA-A20CE63A53E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F3EB-4D1B-9DFA-21BFFAD89082}"/>
                </c:ext>
              </c:extLst>
            </c:dLbl>
            <c:dLbl>
              <c:idx val="21"/>
              <c:layout>
                <c:manualLayout>
                  <c:x val="-1.3852813852813853E-2"/>
                  <c:y val="-2.4479804161566709E-2"/>
                </c:manualLayout>
              </c:layout>
              <c:tx>
                <c:rich>
                  <a:bodyPr/>
                  <a:lstStyle/>
                  <a:p>
                    <a:fld id="{D03F5D09-142B-4122-8E3D-6BE735C9FD3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F3EB-4D1B-9DFA-21BFFAD89082}"/>
                </c:ext>
              </c:extLst>
            </c:dLbl>
            <c:dLbl>
              <c:idx val="22"/>
              <c:layout>
                <c:manualLayout>
                  <c:x val="-0.11993455037865496"/>
                  <c:y val="-9.9333112824140854E-2"/>
                </c:manualLayout>
              </c:layout>
              <c:tx>
                <c:rich>
                  <a:bodyPr/>
                  <a:lstStyle/>
                  <a:p>
                    <a:fld id="{8E01A0E4-E8B6-4687-BAA0-F6CCCCF9EC2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manualLayout>
                      <c:w val="0.18715498938428873"/>
                      <c:h val="6.4119019836639438E-2"/>
                    </c:manualLayout>
                  </c15:layout>
                  <c15:dlblFieldTable/>
                  <c15:showDataLabelsRange val="1"/>
                </c:ext>
                <c:ext xmlns:c16="http://schemas.microsoft.com/office/drawing/2014/chart" uri="{C3380CC4-5D6E-409C-BE32-E72D297353CC}">
                  <c16:uniqueId val="{00000016-F3EB-4D1B-9DFA-21BFFAD89082}"/>
                </c:ext>
              </c:extLst>
            </c:dLbl>
            <c:dLbl>
              <c:idx val="23"/>
              <c:layout>
                <c:manualLayout>
                  <c:x val="1.7316017316017316E-3"/>
                  <c:y val="2.6519787841697267E-2"/>
                </c:manualLayout>
              </c:layout>
              <c:tx>
                <c:rich>
                  <a:bodyPr/>
                  <a:lstStyle/>
                  <a:p>
                    <a:fld id="{20B1D2C4-8090-402E-9678-6A0CCF72E8E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F3EB-4D1B-9DFA-21BFFAD89082}"/>
                </c:ext>
              </c:extLst>
            </c:dLbl>
            <c:dLbl>
              <c:idx val="24"/>
              <c:layout>
                <c:manualLayout>
                  <c:x val="-0.13679653679653681"/>
                  <c:y val="4.6919624643002859E-2"/>
                </c:manualLayout>
              </c:layout>
              <c:tx>
                <c:rich>
                  <a:bodyPr/>
                  <a:lstStyle/>
                  <a:p>
                    <a:fld id="{590454B4-1531-4B66-8867-C6357E73346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F3EB-4D1B-9DFA-21BFFAD89082}"/>
                </c:ext>
              </c:extLst>
            </c:dLbl>
            <c:dLbl>
              <c:idx val="25"/>
              <c:tx>
                <c:rich>
                  <a:bodyPr/>
                  <a:lstStyle/>
                  <a:p>
                    <a:fld id="{5EAC6D18-C05A-4932-9BA5-A5DF3F92DDA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F3EB-4D1B-9DFA-21BFFAD89082}"/>
                </c:ext>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'Graphique 42'!$H$8:$H$33</c:f>
              <c:numCache>
                <c:formatCode>0</c:formatCode>
                <c:ptCount val="26"/>
                <c:pt idx="0">
                  <c:v>50.133000000000003</c:v>
                </c:pt>
                <c:pt idx="1">
                  <c:v>33.747999999999998</c:v>
                </c:pt>
                <c:pt idx="2">
                  <c:v>25.975999999999999</c:v>
                </c:pt>
                <c:pt idx="3">
                  <c:v>53.856999999999999</c:v>
                </c:pt>
                <c:pt idx="4">
                  <c:v>46.512999999999998</c:v>
                </c:pt>
                <c:pt idx="5">
                  <c:v>75.340999999999994</c:v>
                </c:pt>
                <c:pt idx="6">
                  <c:v>54.515000000000001</c:v>
                </c:pt>
                <c:pt idx="7">
                  <c:v>39.005000000000003</c:v>
                </c:pt>
                <c:pt idx="8">
                  <c:v>74.673000000000002</c:v>
                </c:pt>
                <c:pt idx="9">
                  <c:v>36.816000000000003</c:v>
                </c:pt>
                <c:pt idx="10">
                  <c:v>50.287999999999997</c:v>
                </c:pt>
                <c:pt idx="11">
                  <c:v>32.667000000000002</c:v>
                </c:pt>
                <c:pt idx="12">
                  <c:v>54.259</c:v>
                </c:pt>
                <c:pt idx="13">
                  <c:v>22.649000000000001</c:v>
                </c:pt>
                <c:pt idx="14">
                  <c:v>58.573</c:v>
                </c:pt>
                <c:pt idx="15">
                  <c:v>48.762999999999998</c:v>
                </c:pt>
                <c:pt idx="16">
                  <c:v>45.1</c:v>
                </c:pt>
                <c:pt idx="17">
                  <c:v>73.968000000000004</c:v>
                </c:pt>
                <c:pt idx="18">
                  <c:v>53.835000000000001</c:v>
                </c:pt>
                <c:pt idx="19">
                  <c:v>29.385000000000002</c:v>
                </c:pt>
                <c:pt idx="20">
                  <c:v>52.277000000000001</c:v>
                </c:pt>
                <c:pt idx="21">
                  <c:v>37.414000000000001</c:v>
                </c:pt>
                <c:pt idx="22">
                  <c:v>49.682000000000002</c:v>
                </c:pt>
                <c:pt idx="23">
                  <c:v>54.396999999999998</c:v>
                </c:pt>
                <c:pt idx="24">
                  <c:v>30.757999999999999</c:v>
                </c:pt>
                <c:pt idx="25">
                  <c:v>78.775999999999996</c:v>
                </c:pt>
              </c:numCache>
            </c:numRef>
          </c:xVal>
          <c:yVal>
            <c:numRef>
              <c:f>'Graphique 42'!$I$8:$I$33</c:f>
              <c:numCache>
                <c:formatCode>General</c:formatCode>
                <c:ptCount val="26"/>
                <c:pt idx="0">
                  <c:v>54.301000000000002</c:v>
                </c:pt>
                <c:pt idx="1">
                  <c:v>57.000999999999998</c:v>
                </c:pt>
                <c:pt idx="2">
                  <c:v>57.793999999999997</c:v>
                </c:pt>
                <c:pt idx="3">
                  <c:v>67.108000000000004</c:v>
                </c:pt>
                <c:pt idx="4">
                  <c:v>42.366999999999997</c:v>
                </c:pt>
                <c:pt idx="5">
                  <c:v>84.474000000000004</c:v>
                </c:pt>
                <c:pt idx="6">
                  <c:v>55.405000000000001</c:v>
                </c:pt>
                <c:pt idx="7">
                  <c:v>39.774999999999999</c:v>
                </c:pt>
                <c:pt idx="8">
                  <c:v>70.691999999999993</c:v>
                </c:pt>
                <c:pt idx="9">
                  <c:v>56.953000000000003</c:v>
                </c:pt>
                <c:pt idx="10">
                  <c:v>47.506999999999998</c:v>
                </c:pt>
                <c:pt idx="11">
                  <c:v>64.078000000000003</c:v>
                </c:pt>
                <c:pt idx="12">
                  <c:v>53.627000000000002</c:v>
                </c:pt>
                <c:pt idx="13">
                  <c:v>45.875999999999998</c:v>
                </c:pt>
                <c:pt idx="14">
                  <c:v>68.427999999999997</c:v>
                </c:pt>
                <c:pt idx="15">
                  <c:v>64.724000000000004</c:v>
                </c:pt>
                <c:pt idx="16">
                  <c:v>37.261000000000003</c:v>
                </c:pt>
                <c:pt idx="17">
                  <c:v>73.828999999999994</c:v>
                </c:pt>
                <c:pt idx="18">
                  <c:v>47.273000000000003</c:v>
                </c:pt>
                <c:pt idx="19">
                  <c:v>52.627000000000002</c:v>
                </c:pt>
                <c:pt idx="20">
                  <c:v>68.251000000000005</c:v>
                </c:pt>
                <c:pt idx="21">
                  <c:v>73.572000000000003</c:v>
                </c:pt>
                <c:pt idx="22">
                  <c:v>72.180999999999997</c:v>
                </c:pt>
                <c:pt idx="23">
                  <c:v>61.481000000000002</c:v>
                </c:pt>
                <c:pt idx="24">
                  <c:v>39.936999999999998</c:v>
                </c:pt>
                <c:pt idx="25">
                  <c:v>82.694999999999993</c:v>
                </c:pt>
              </c:numCache>
            </c:numRef>
          </c:yVal>
          <c:bubbleSize>
            <c:numRef>
              <c:f>'Graphique 42'!$F$8:$F$33</c:f>
              <c:numCache>
                <c:formatCode>0</c:formatCode>
                <c:ptCount val="26"/>
                <c:pt idx="0">
                  <c:v>27853.565716000001</c:v>
                </c:pt>
                <c:pt idx="1">
                  <c:v>13018.357226</c:v>
                </c:pt>
                <c:pt idx="2">
                  <c:v>8085.0977129000003</c:v>
                </c:pt>
                <c:pt idx="3">
                  <c:v>7408.6917819</c:v>
                </c:pt>
                <c:pt idx="4">
                  <c:v>6408.9120731000003</c:v>
                </c:pt>
                <c:pt idx="5">
                  <c:v>5076.1823899999999</c:v>
                </c:pt>
                <c:pt idx="6">
                  <c:v>4851.2517240999996</c:v>
                </c:pt>
                <c:pt idx="7">
                  <c:v>4710.0801578999999</c:v>
                </c:pt>
                <c:pt idx="8">
                  <c:v>3893.8258092000001</c:v>
                </c:pt>
                <c:pt idx="9">
                  <c:v>2883.3864665999999</c:v>
                </c:pt>
                <c:pt idx="10">
                  <c:v>2834.6850610000001</c:v>
                </c:pt>
                <c:pt idx="11">
                  <c:v>2735.9136238999999</c:v>
                </c:pt>
                <c:pt idx="12">
                  <c:v>2402.4892866</c:v>
                </c:pt>
                <c:pt idx="13">
                  <c:v>2378.4454744</c:v>
                </c:pt>
                <c:pt idx="14">
                  <c:v>2351.8997856000001</c:v>
                </c:pt>
                <c:pt idx="15">
                  <c:v>2108.9677193000002</c:v>
                </c:pt>
                <c:pt idx="16">
                  <c:v>2088.4271742999999</c:v>
                </c:pt>
                <c:pt idx="17">
                  <c:v>1652.3029034000001</c:v>
                </c:pt>
                <c:pt idx="18">
                  <c:v>1443.2951681</c:v>
                </c:pt>
                <c:pt idx="19">
                  <c:v>1381.0113338000001</c:v>
                </c:pt>
                <c:pt idx="20">
                  <c:v>1130.2262940000001</c:v>
                </c:pt>
                <c:pt idx="21">
                  <c:v>1125.1406864999999</c:v>
                </c:pt>
                <c:pt idx="22">
                  <c:v>1052.8900524999999</c:v>
                </c:pt>
                <c:pt idx="23">
                  <c:v>682.15006430000005</c:v>
                </c:pt>
                <c:pt idx="24">
                  <c:v>641.47141286999999</c:v>
                </c:pt>
                <c:pt idx="25">
                  <c:v>544.83101481999995</c:v>
                </c:pt>
              </c:numCache>
            </c:numRef>
          </c:bubbleSize>
          <c:bubble3D val="0"/>
          <c:extLst>
            <c:ext xmlns:c15="http://schemas.microsoft.com/office/drawing/2012/chart" uri="{02D57815-91ED-43cb-92C2-25804820EDAC}">
              <c15:datalabelsRange>
                <c15:f>'Graphique 42'!$B$8:$B$33</c15:f>
                <c15:dlblRangeCache>
                  <c:ptCount val="26"/>
                  <c:pt idx="0">
                    <c:v>Professionnels de l'animation socioculturelle</c:v>
                  </c:pt>
                  <c:pt idx="1">
                    <c:v>Agents d'entretien de locaux</c:v>
                  </c:pt>
                  <c:pt idx="2">
                    <c:v>Jardiniers des espaces verts et naturels</c:v>
                  </c:pt>
                  <c:pt idx="3">
                    <c:v>Assistants maternels, auxiliaires de puériculture, assistants familiaux et gardes à domicile</c:v>
                  </c:pt>
                  <c:pt idx="4">
                    <c:v>Ouvriers de l'assainissement et du traitement des déchets</c:v>
                  </c:pt>
                  <c:pt idx="5">
                    <c:v>Aides à domicile et auxiliaires de vie</c:v>
                  </c:pt>
                  <c:pt idx="6">
                    <c:v>Sportifs et animateurs sportifs</c:v>
                  </c:pt>
                  <c:pt idx="7">
                    <c:v>Agents administratifs</c:v>
                  </c:pt>
                  <c:pt idx="8">
                    <c:v>Aides-soignants</c:v>
                  </c:pt>
                  <c:pt idx="9">
                    <c:v>Aides de cuisine et employés polyvalents de la restauration</c:v>
                  </c:pt>
                  <c:pt idx="10">
                    <c:v>Employés des services divers</c:v>
                  </c:pt>
                  <c:pt idx="11">
                    <c:v>Ouvriers polyvalents d'entretien du bâtiment</c:v>
                  </c:pt>
                  <c:pt idx="12">
                    <c:v>Surveillants d'établissements scolaires et accompagnateurs des élèves en situation de handicap</c:v>
                  </c:pt>
                  <c:pt idx="13">
                    <c:v>Agents d'accueil et d'information</c:v>
                  </c:pt>
                  <c:pt idx="14">
                    <c:v>Educateurs spécialisés et autres intervenants socio-éducatifs</c:v>
                  </c:pt>
                  <c:pt idx="15">
                    <c:v>Professionnels de l'action sociale</c:v>
                  </c:pt>
                  <c:pt idx="16">
                    <c:v>Secrétaires bureautiques et assimilés</c:v>
                  </c:pt>
                  <c:pt idx="17">
                    <c:v>Infirmiers et sages-femmes</c:v>
                  </c:pt>
                  <c:pt idx="18">
                    <c:v>Agents de service hospitaliers</c:v>
                  </c:pt>
                  <c:pt idx="19">
                    <c:v>Ouvriers peu qualifiés de l'extraction et des travaux publics</c:v>
                  </c:pt>
                  <c:pt idx="20">
                    <c:v>Cuisiniers</c:v>
                  </c:pt>
                  <c:pt idx="21">
                    <c:v>Agents de sécurité et de surveillance</c:v>
                  </c:pt>
                  <c:pt idx="22">
                    <c:v>Personnels de ménage chez des particuliers</c:v>
                  </c:pt>
                  <c:pt idx="23">
                    <c:v>Employés de la comptabilité</c:v>
                  </c:pt>
                  <c:pt idx="24">
                    <c:v>Techniciens des services administratifs</c:v>
                  </c:pt>
                  <c:pt idx="25">
                    <c:v>Médecins</c:v>
                  </c:pt>
                </c15:dlblRangeCache>
              </c15:datalabelsRange>
            </c:ext>
            <c:ext xmlns:c16="http://schemas.microsoft.com/office/drawing/2014/chart" uri="{C3380CC4-5D6E-409C-BE32-E72D297353CC}">
              <c16:uniqueId val="{0000001A-F3EB-4D1B-9DFA-21BFFAD89082}"/>
            </c:ext>
          </c:extLst>
        </c:ser>
        <c:dLbls>
          <c:showLegendKey val="0"/>
          <c:showVal val="0"/>
          <c:showCatName val="0"/>
          <c:showSerName val="0"/>
          <c:showPercent val="0"/>
          <c:showBubbleSize val="0"/>
        </c:dLbls>
        <c:bubbleScale val="50"/>
        <c:showNegBubbles val="0"/>
        <c:axId val="1048807696"/>
        <c:axId val="1048799536"/>
      </c:bubbleChart>
      <c:valAx>
        <c:axId val="1048807696"/>
        <c:scaling>
          <c:orientation val="minMax"/>
          <c:min val="2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baseline="0"/>
                  <a:t>Part des projets de recrutement jugés difficiles, FPT</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48799536"/>
        <c:crosses val="autoZero"/>
        <c:crossBetween val="midCat"/>
      </c:valAx>
      <c:valAx>
        <c:axId val="1048799536"/>
        <c:scaling>
          <c:orientation val="minMax"/>
          <c:max val="9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fr-FR" sz="1200" baseline="0"/>
                  <a:t>Part des projets de recrutement jugés difficile, secteur privé</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48807696"/>
        <c:crosses val="autoZero"/>
        <c:crossBetween val="midCat"/>
      </c:valAx>
      <c:spPr>
        <a:noFill/>
        <a:ln>
          <a:solidFill>
            <a:sysClr val="windowText" lastClr="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baseline="0"/>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'Graphique 30'!$C$5</c:f>
              <c:strCache>
                <c:ptCount val="1"/>
                <c:pt idx="0">
                  <c:v>Nombre de candidats aux concours externes du premier degré public</c:v>
                </c:pt>
              </c:strCache>
            </c:strRef>
          </c:tx>
          <c:spPr>
            <a:ln w="28575" cap="rnd">
              <a:solidFill>
                <a:schemeClr val="accent1"/>
              </a:solidFill>
              <a:round/>
            </a:ln>
            <a:effectLst/>
          </c:spPr>
          <c:marker>
            <c:symbol val="none"/>
          </c:marker>
          <c:cat>
            <c:numRef>
              <c:f>'Graphique 30'!$B$6:$B$68</c:f>
              <c:numCache>
                <c:formatCode>General</c:formatCode>
                <c:ptCount val="63"/>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pt idx="56">
                  <c:v>2017</c:v>
                </c:pt>
                <c:pt idx="57">
                  <c:v>2018</c:v>
                </c:pt>
                <c:pt idx="58">
                  <c:v>2019</c:v>
                </c:pt>
                <c:pt idx="59">
                  <c:v>2020</c:v>
                </c:pt>
                <c:pt idx="60">
                  <c:v>2021</c:v>
                </c:pt>
                <c:pt idx="61">
                  <c:v>2022</c:v>
                </c:pt>
                <c:pt idx="62">
                  <c:v>2023</c:v>
                </c:pt>
              </c:numCache>
            </c:numRef>
          </c:cat>
          <c:val>
            <c:numRef>
              <c:f>'Graphique 30'!$C$6:$C$68</c:f>
              <c:numCache>
                <c:formatCode>#,##0</c:formatCode>
                <c:ptCount val="63"/>
                <c:pt idx="0">
                  <c:v>27359</c:v>
                </c:pt>
                <c:pt idx="11">
                  <c:v>78757</c:v>
                </c:pt>
                <c:pt idx="16">
                  <c:v>33500</c:v>
                </c:pt>
                <c:pt idx="17">
                  <c:v>37000</c:v>
                </c:pt>
                <c:pt idx="18">
                  <c:v>32285</c:v>
                </c:pt>
                <c:pt idx="19">
                  <c:v>32285</c:v>
                </c:pt>
                <c:pt idx="21">
                  <c:v>58524</c:v>
                </c:pt>
                <c:pt idx="23">
                  <c:v>48000</c:v>
                </c:pt>
                <c:pt idx="24">
                  <c:v>10342</c:v>
                </c:pt>
                <c:pt idx="29" formatCode="General">
                  <c:v>27789</c:v>
                </c:pt>
                <c:pt idx="31">
                  <c:v>14682</c:v>
                </c:pt>
                <c:pt idx="32">
                  <c:v>25921</c:v>
                </c:pt>
                <c:pt idx="33">
                  <c:v>39468</c:v>
                </c:pt>
                <c:pt idx="34">
                  <c:v>49954</c:v>
                </c:pt>
                <c:pt idx="35">
                  <c:v>43225</c:v>
                </c:pt>
                <c:pt idx="36">
                  <c:v>46058</c:v>
                </c:pt>
                <c:pt idx="37">
                  <c:v>46602</c:v>
                </c:pt>
                <c:pt idx="38">
                  <c:v>48835</c:v>
                </c:pt>
                <c:pt idx="39">
                  <c:v>47023</c:v>
                </c:pt>
                <c:pt idx="40">
                  <c:v>47244</c:v>
                </c:pt>
                <c:pt idx="41">
                  <c:v>54845</c:v>
                </c:pt>
                <c:pt idx="42">
                  <c:v>65977</c:v>
                </c:pt>
                <c:pt idx="43">
                  <c:v>65577</c:v>
                </c:pt>
                <c:pt idx="44">
                  <c:v>57324</c:v>
                </c:pt>
                <c:pt idx="45">
                  <c:v>55298</c:v>
                </c:pt>
                <c:pt idx="46">
                  <c:v>52672</c:v>
                </c:pt>
                <c:pt idx="47">
                  <c:v>48030</c:v>
                </c:pt>
                <c:pt idx="48">
                  <c:v>44907</c:v>
                </c:pt>
                <c:pt idx="49">
                  <c:v>37520</c:v>
                </c:pt>
                <c:pt idx="50">
                  <c:v>18136</c:v>
                </c:pt>
                <c:pt idx="51">
                  <c:v>18617</c:v>
                </c:pt>
                <c:pt idx="52">
                  <c:v>20548</c:v>
                </c:pt>
                <c:pt idx="53">
                  <c:v>52287</c:v>
                </c:pt>
                <c:pt idx="54">
                  <c:v>30855</c:v>
                </c:pt>
                <c:pt idx="55">
                  <c:v>33153</c:v>
                </c:pt>
                <c:pt idx="56">
                  <c:v>33345</c:v>
                </c:pt>
                <c:pt idx="57">
                  <c:v>33240</c:v>
                </c:pt>
                <c:pt idx="58">
                  <c:v>32380</c:v>
                </c:pt>
                <c:pt idx="59">
                  <c:v>33144</c:v>
                </c:pt>
                <c:pt idx="60">
                  <c:v>29996</c:v>
                </c:pt>
                <c:pt idx="61">
                  <c:v>17156</c:v>
                </c:pt>
                <c:pt idx="62">
                  <c:v>17808</c:v>
                </c:pt>
              </c:numCache>
            </c:numRef>
          </c:val>
          <c:smooth val="0"/>
          <c:extLst>
            <c:ext xmlns:c16="http://schemas.microsoft.com/office/drawing/2014/chart" uri="{C3380CC4-5D6E-409C-BE32-E72D297353CC}">
              <c16:uniqueId val="{00000000-E856-4B8D-B1A0-F11CB169F68C}"/>
            </c:ext>
          </c:extLst>
        </c:ser>
        <c:dLbls>
          <c:showLegendKey val="0"/>
          <c:showVal val="0"/>
          <c:showCatName val="0"/>
          <c:showSerName val="0"/>
          <c:showPercent val="0"/>
          <c:showBubbleSize val="0"/>
        </c:dLbls>
        <c:smooth val="0"/>
        <c:axId val="1405509488"/>
        <c:axId val="1405528624"/>
      </c:lineChart>
      <c:catAx>
        <c:axId val="1405509488"/>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05528624"/>
        <c:crosses val="autoZero"/>
        <c:auto val="1"/>
        <c:lblAlgn val="ctr"/>
        <c:lblOffset val="100"/>
        <c:noMultiLvlLbl val="0"/>
      </c:catAx>
      <c:valAx>
        <c:axId val="1405528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05509488"/>
        <c:crosses val="autoZero"/>
        <c:crossBetween val="between"/>
      </c:valAx>
      <c:spPr>
        <a:noFill/>
        <a:ln>
          <a:solidFill>
            <a:sysClr val="windowText" lastClr="000000"/>
          </a:solidFill>
        </a:ln>
        <a:effectLst/>
      </c:spPr>
    </c:plotArea>
    <c:plotVisOnly val="1"/>
    <c:dispBlanksAs val="span"/>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ubbleChart>
        <c:varyColors val="0"/>
        <c:ser>
          <c:idx val="0"/>
          <c:order val="0"/>
          <c:spPr>
            <a:solidFill>
              <a:schemeClr val="accent5">
                <a:lumMod val="20000"/>
                <a:lumOff val="80000"/>
              </a:schemeClr>
            </a:solidFill>
            <a:ln>
              <a:noFill/>
            </a:ln>
            <a:effectLst/>
          </c:spPr>
          <c:invertIfNegative val="0"/>
          <c:dLbls>
            <c:dLbl>
              <c:idx val="0"/>
              <c:layout>
                <c:manualLayout>
                  <c:x val="6.3938618925831201E-3"/>
                  <c:y val="5.3131991051454136E-2"/>
                </c:manualLayout>
              </c:layout>
              <c:tx>
                <c:rich>
                  <a:bodyPr/>
                  <a:lstStyle/>
                  <a:p>
                    <a:fld id="{F6BDB4AE-086C-4CB2-BCE6-2B16A723C01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C305-4C90-9C37-77A3CD312240}"/>
                </c:ext>
              </c:extLst>
            </c:dLbl>
            <c:dLbl>
              <c:idx val="1"/>
              <c:layout>
                <c:manualLayout>
                  <c:x val="0"/>
                  <c:y val="3.6353467561521254E-2"/>
                </c:manualLayout>
              </c:layout>
              <c:tx>
                <c:rich>
                  <a:bodyPr/>
                  <a:lstStyle/>
                  <a:p>
                    <a:fld id="{66FB7305-07F6-46F1-A743-CD26F610F4E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C305-4C90-9C37-77A3CD312240}"/>
                </c:ext>
              </c:extLst>
            </c:dLbl>
            <c:dLbl>
              <c:idx val="2"/>
              <c:tx>
                <c:rich>
                  <a:bodyPr/>
                  <a:lstStyle/>
                  <a:p>
                    <a:fld id="{D3578EA3-121E-44F4-B112-7A844BE5F16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C305-4C90-9C37-77A3CD312240}"/>
                </c:ext>
              </c:extLst>
            </c:dLbl>
            <c:dLbl>
              <c:idx val="3"/>
              <c:tx>
                <c:rich>
                  <a:bodyPr/>
                  <a:lstStyle/>
                  <a:p>
                    <a:fld id="{DFD48022-F993-4914-B8BD-D785A599B0E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305-4C90-9C37-77A3CD312240}"/>
                </c:ext>
              </c:extLst>
            </c:dLbl>
            <c:dLbl>
              <c:idx val="4"/>
              <c:layout>
                <c:manualLayout>
                  <c:x val="5.1150895140664808E-2"/>
                  <c:y val="0.10626398210290827"/>
                </c:manualLayout>
              </c:layout>
              <c:tx>
                <c:rich>
                  <a:bodyPr/>
                  <a:lstStyle/>
                  <a:p>
                    <a:fld id="{9D94F423-85EA-4911-B763-E5C086D0990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C305-4C90-9C37-77A3CD312240}"/>
                </c:ext>
              </c:extLst>
            </c:dLbl>
            <c:dLbl>
              <c:idx val="5"/>
              <c:layout>
                <c:manualLayout>
                  <c:x val="-4.4757033248081841E-2"/>
                  <c:y val="-7.829977628635347E-2"/>
                </c:manualLayout>
              </c:layout>
              <c:tx>
                <c:rich>
                  <a:bodyPr/>
                  <a:lstStyle/>
                  <a:p>
                    <a:fld id="{8C7CAEEB-2D77-4E50-84CF-FEE711F01FE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C305-4C90-9C37-77A3CD312240}"/>
                </c:ext>
              </c:extLst>
            </c:dLbl>
            <c:dLbl>
              <c:idx val="6"/>
              <c:layout>
                <c:manualLayout>
                  <c:x val="-1.7050298380221655E-2"/>
                  <c:y val="-8.6689038031319915E-2"/>
                </c:manualLayout>
              </c:layout>
              <c:tx>
                <c:rich>
                  <a:bodyPr/>
                  <a:lstStyle/>
                  <a:p>
                    <a:fld id="{63206518-F996-47CE-ADAD-D08F5F63944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C305-4C90-9C37-77A3CD312240}"/>
                </c:ext>
              </c:extLst>
            </c:dLbl>
            <c:dLbl>
              <c:idx val="7"/>
              <c:layout>
                <c:manualLayout>
                  <c:x val="-2.1312872975277849E-3"/>
                  <c:y val="3.9149888143176735E-2"/>
                </c:manualLayout>
              </c:layout>
              <c:tx>
                <c:rich>
                  <a:bodyPr/>
                  <a:lstStyle/>
                  <a:p>
                    <a:fld id="{F92605CE-D692-4A23-86E2-831BFB3B0FD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C305-4C90-9C37-77A3CD312240}"/>
                </c:ext>
              </c:extLst>
            </c:dLbl>
            <c:dLbl>
              <c:idx val="8"/>
              <c:layout>
                <c:manualLayout>
                  <c:x val="-1.278772378516624E-2"/>
                  <c:y val="5.5928411633109673E-2"/>
                </c:manualLayout>
              </c:layout>
              <c:tx>
                <c:rich>
                  <a:bodyPr/>
                  <a:lstStyle/>
                  <a:p>
                    <a:fld id="{B13B2C38-4A9D-41D4-B8EC-EDBA44C089C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C305-4C90-9C37-77A3CD312240}"/>
                </c:ext>
              </c:extLst>
            </c:dLbl>
            <c:dLbl>
              <c:idx val="9"/>
              <c:tx>
                <c:rich>
                  <a:bodyPr/>
                  <a:lstStyle/>
                  <a:p>
                    <a:fld id="{9C3B6B22-A342-44E9-9E8C-33B1F754BB9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C305-4C90-9C37-77A3CD312240}"/>
                </c:ext>
              </c:extLst>
            </c:dLbl>
            <c:dLbl>
              <c:idx val="10"/>
              <c:tx>
                <c:rich>
                  <a:bodyPr/>
                  <a:lstStyle/>
                  <a:p>
                    <a:fld id="{7B4FEFFC-6DF9-4311-9803-C5AFF2480A3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C305-4C90-9C37-77A3CD31224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'Graphique 43'!$H$8:$H$18</c:f>
              <c:numCache>
                <c:formatCode>0.0</c:formatCode>
                <c:ptCount val="11"/>
                <c:pt idx="0">
                  <c:v>63.658000000000001</c:v>
                </c:pt>
                <c:pt idx="1">
                  <c:v>70.233000000000004</c:v>
                </c:pt>
                <c:pt idx="2">
                  <c:v>41.381</c:v>
                </c:pt>
                <c:pt idx="3">
                  <c:v>78.897999999999996</c:v>
                </c:pt>
                <c:pt idx="4">
                  <c:v>59.37</c:v>
                </c:pt>
                <c:pt idx="5">
                  <c:v>53.774000000000001</c:v>
                </c:pt>
                <c:pt idx="6">
                  <c:v>71.531999999999996</c:v>
                </c:pt>
                <c:pt idx="7">
                  <c:v>37.536000000000001</c:v>
                </c:pt>
                <c:pt idx="8">
                  <c:v>52.082000000000001</c:v>
                </c:pt>
                <c:pt idx="9">
                  <c:v>31.850999999999999</c:v>
                </c:pt>
                <c:pt idx="10">
                  <c:v>33.779000000000003</c:v>
                </c:pt>
              </c:numCache>
            </c:numRef>
          </c:xVal>
          <c:yVal>
            <c:numRef>
              <c:f>'Graphique 43'!$I$8:$I$18</c:f>
              <c:numCache>
                <c:formatCode>0.0</c:formatCode>
                <c:ptCount val="11"/>
                <c:pt idx="0">
                  <c:v>70.691999999999993</c:v>
                </c:pt>
                <c:pt idx="1">
                  <c:v>73.828999999999994</c:v>
                </c:pt>
                <c:pt idx="2">
                  <c:v>47.273000000000003</c:v>
                </c:pt>
                <c:pt idx="3">
                  <c:v>82.694999999999993</c:v>
                </c:pt>
                <c:pt idx="4">
                  <c:v>68.427999999999997</c:v>
                </c:pt>
                <c:pt idx="5">
                  <c:v>78.254999999999995</c:v>
                </c:pt>
                <c:pt idx="6">
                  <c:v>78.923000000000002</c:v>
                </c:pt>
                <c:pt idx="7">
                  <c:v>37.261000000000003</c:v>
                </c:pt>
                <c:pt idx="8">
                  <c:v>59.395000000000003</c:v>
                </c:pt>
                <c:pt idx="9">
                  <c:v>57.000999999999998</c:v>
                </c:pt>
                <c:pt idx="10">
                  <c:v>75.400999999999996</c:v>
                </c:pt>
              </c:numCache>
            </c:numRef>
          </c:yVal>
          <c:bubbleSize>
            <c:numRef>
              <c:f>'Graphique 43'!$F$8:$F$18</c:f>
              <c:numCache>
                <c:formatCode>0</c:formatCode>
                <c:ptCount val="11"/>
                <c:pt idx="0">
                  <c:v>13418.354717</c:v>
                </c:pt>
                <c:pt idx="1">
                  <c:v>11710.843134000001</c:v>
                </c:pt>
                <c:pt idx="2">
                  <c:v>7315.8554225999997</c:v>
                </c:pt>
                <c:pt idx="3">
                  <c:v>2523.9749734000002</c:v>
                </c:pt>
                <c:pt idx="4">
                  <c:v>2019.6619939</c:v>
                </c:pt>
                <c:pt idx="5">
                  <c:v>1705.5831906999999</c:v>
                </c:pt>
                <c:pt idx="6">
                  <c:v>1530.6487322</c:v>
                </c:pt>
                <c:pt idx="7">
                  <c:v>1127.4763342000001</c:v>
                </c:pt>
                <c:pt idx="8">
                  <c:v>841.58740006999994</c:v>
                </c:pt>
                <c:pt idx="9">
                  <c:v>736.12484606999999</c:v>
                </c:pt>
                <c:pt idx="10">
                  <c:v>662.65479889000005</c:v>
                </c:pt>
              </c:numCache>
            </c:numRef>
          </c:bubbleSize>
          <c:bubble3D val="0"/>
          <c:extLst>
            <c:ext xmlns:c15="http://schemas.microsoft.com/office/drawing/2012/chart" uri="{02D57815-91ED-43cb-92C2-25804820EDAC}">
              <c15:datalabelsRange>
                <c15:f>'Graphique 43'!$B$8:$B$18</c15:f>
                <c15:dlblRangeCache>
                  <c:ptCount val="11"/>
                  <c:pt idx="0">
                    <c:v>Aides-soignants</c:v>
                  </c:pt>
                  <c:pt idx="1">
                    <c:v>Infirmiers et sages-femmes</c:v>
                  </c:pt>
                  <c:pt idx="2">
                    <c:v>Agents de service hospitaliers</c:v>
                  </c:pt>
                  <c:pt idx="3">
                    <c:v>Médecins</c:v>
                  </c:pt>
                  <c:pt idx="4">
                    <c:v>Educateurs spécialisés et autres intervenants socio-éducatifs</c:v>
                  </c:pt>
                  <c:pt idx="5">
                    <c:v>Autres professionnels para-médicaux</c:v>
                  </c:pt>
                  <c:pt idx="6">
                    <c:v>Techniciens médicaux et préparateurs</c:v>
                  </c:pt>
                  <c:pt idx="7">
                    <c:v>Secrétaires bureautiques et assimilés</c:v>
                  </c:pt>
                  <c:pt idx="8">
                    <c:v>Psychologues, psychothérapeutes</c:v>
                  </c:pt>
                  <c:pt idx="9">
                    <c:v>Agents d'entretien de locaux</c:v>
                  </c:pt>
                  <c:pt idx="10">
                    <c:v>Aides médico-psychologiques</c:v>
                  </c:pt>
                </c15:dlblRangeCache>
              </c15:datalabelsRange>
            </c:ext>
            <c:ext xmlns:c16="http://schemas.microsoft.com/office/drawing/2014/chart" uri="{C3380CC4-5D6E-409C-BE32-E72D297353CC}">
              <c16:uniqueId val="{0000000B-C305-4C90-9C37-77A3CD312240}"/>
            </c:ext>
          </c:extLst>
        </c:ser>
        <c:dLbls>
          <c:showLegendKey val="0"/>
          <c:showVal val="0"/>
          <c:showCatName val="0"/>
          <c:showSerName val="0"/>
          <c:showPercent val="0"/>
          <c:showBubbleSize val="0"/>
        </c:dLbls>
        <c:bubbleScale val="50"/>
        <c:showNegBubbles val="0"/>
        <c:axId val="392791264"/>
        <c:axId val="392791744"/>
      </c:bubbleChart>
      <c:valAx>
        <c:axId val="392791264"/>
        <c:scaling>
          <c:orientation val="minMax"/>
          <c:min val="2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fr-FR" sz="1200" baseline="0"/>
                  <a:t>Part des projets de recrutement jugés difficiles, FPH</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2791744"/>
        <c:crosses val="autoZero"/>
        <c:crossBetween val="midCat"/>
      </c:valAx>
      <c:valAx>
        <c:axId val="392791744"/>
        <c:scaling>
          <c:orientation val="minMax"/>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200"/>
                  <a:t>Part des projets de</a:t>
                </a:r>
                <a:r>
                  <a:rPr lang="fr-FR" sz="1200" baseline="0"/>
                  <a:t> </a:t>
                </a:r>
                <a:r>
                  <a:rPr lang="fr-FR" sz="1200"/>
                  <a:t>recrutement</a:t>
                </a:r>
                <a:r>
                  <a:rPr lang="fr-FR" sz="1200" baseline="0"/>
                  <a:t> </a:t>
                </a:r>
                <a:r>
                  <a:rPr lang="fr-FR" sz="1200"/>
                  <a:t>jugés difficiles, secteur privé</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2791264"/>
        <c:crosses val="autoZero"/>
        <c:crossBetween val="midCat"/>
      </c:valAx>
      <c:spPr>
        <a:noFill/>
        <a:ln>
          <a:solidFill>
            <a:sysClr val="windowText" lastClr="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160402877036148E-2"/>
          <c:y val="4.013429042746898E-2"/>
          <c:w val="0.92453241136686048"/>
          <c:h val="0.66790009463303701"/>
        </c:manualLayout>
      </c:layout>
      <c:lineChart>
        <c:grouping val="standard"/>
        <c:varyColors val="0"/>
        <c:ser>
          <c:idx val="0"/>
          <c:order val="0"/>
          <c:tx>
            <c:strRef>
              <c:f>'Graphique 44'!$D$6</c:f>
              <c:strCache>
                <c:ptCount val="1"/>
                <c:pt idx="0">
                  <c:v>1 - Infirmiers</c:v>
                </c:pt>
              </c:strCache>
            </c:strRef>
          </c:tx>
          <c:spPr>
            <a:ln w="28575" cap="rnd">
              <a:solidFill>
                <a:srgbClr val="00B0F0"/>
              </a:solidFill>
              <a:round/>
            </a:ln>
            <a:effectLst/>
          </c:spPr>
          <c:marker>
            <c:symbol val="none"/>
          </c:marker>
          <c:cat>
            <c:multiLvlStrRef>
              <c:f>'Graphique 44'!$B$7:$C$31</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2017</c:v>
                  </c:pt>
                  <c:pt idx="4">
                    <c:v>2018</c:v>
                  </c:pt>
                  <c:pt idx="8">
                    <c:v>2019</c:v>
                  </c:pt>
                  <c:pt idx="12">
                    <c:v>2020</c:v>
                  </c:pt>
                  <c:pt idx="16">
                    <c:v>2021</c:v>
                  </c:pt>
                  <c:pt idx="20">
                    <c:v>2022</c:v>
                  </c:pt>
                  <c:pt idx="24">
                    <c:v>2023</c:v>
                  </c:pt>
                </c:lvl>
              </c:multiLvlStrCache>
            </c:multiLvlStrRef>
          </c:cat>
          <c:val>
            <c:numRef>
              <c:f>'Graphique 44'!$D$7:$D$31</c:f>
              <c:numCache>
                <c:formatCode>0.0</c:formatCode>
                <c:ptCount val="25"/>
                <c:pt idx="0">
                  <c:v>0.13700000000000001</c:v>
                </c:pt>
                <c:pt idx="1">
                  <c:v>0.16700000000000001</c:v>
                </c:pt>
                <c:pt idx="2">
                  <c:v>0.17</c:v>
                </c:pt>
                <c:pt idx="3">
                  <c:v>0.189</c:v>
                </c:pt>
                <c:pt idx="4">
                  <c:v>0.17799999999999999</c:v>
                </c:pt>
                <c:pt idx="5">
                  <c:v>0.216</c:v>
                </c:pt>
                <c:pt idx="6">
                  <c:v>0.219</c:v>
                </c:pt>
                <c:pt idx="7">
                  <c:v>0.22</c:v>
                </c:pt>
                <c:pt idx="8">
                  <c:v>0.24</c:v>
                </c:pt>
                <c:pt idx="9">
                  <c:v>0.26300000000000001</c:v>
                </c:pt>
                <c:pt idx="10">
                  <c:v>0.29299999999999998</c:v>
                </c:pt>
                <c:pt idx="11">
                  <c:v>0.30499999999999999</c:v>
                </c:pt>
                <c:pt idx="12">
                  <c:v>0.31</c:v>
                </c:pt>
                <c:pt idx="13">
                  <c:v>0.23799999999999999</c:v>
                </c:pt>
                <c:pt idx="14">
                  <c:v>0.32500000000000001</c:v>
                </c:pt>
                <c:pt idx="15">
                  <c:v>0.313</c:v>
                </c:pt>
                <c:pt idx="16">
                  <c:v>0.40100000000000002</c:v>
                </c:pt>
                <c:pt idx="17">
                  <c:v>0.35399999999999998</c:v>
                </c:pt>
                <c:pt idx="18">
                  <c:v>0.34799999999999998</c:v>
                </c:pt>
                <c:pt idx="19">
                  <c:v>0.40500000000000003</c:v>
                </c:pt>
                <c:pt idx="20">
                  <c:v>0.48199999999999998</c:v>
                </c:pt>
                <c:pt idx="21">
                  <c:v>0.57299999999999995</c:v>
                </c:pt>
                <c:pt idx="22">
                  <c:v>0.628</c:v>
                </c:pt>
                <c:pt idx="23">
                  <c:v>0.72699999999999998</c:v>
                </c:pt>
                <c:pt idx="24">
                  <c:v>0.73499999999999999</c:v>
                </c:pt>
              </c:numCache>
            </c:numRef>
          </c:val>
          <c:smooth val="0"/>
          <c:extLst>
            <c:ext xmlns:c16="http://schemas.microsoft.com/office/drawing/2014/chart" uri="{C3380CC4-5D6E-409C-BE32-E72D297353CC}">
              <c16:uniqueId val="{00000000-BC13-4253-93CE-516727FEE0E9}"/>
            </c:ext>
          </c:extLst>
        </c:ser>
        <c:ser>
          <c:idx val="1"/>
          <c:order val="1"/>
          <c:tx>
            <c:strRef>
              <c:f>'Graphique 44'!$E$6</c:f>
              <c:strCache>
                <c:ptCount val="1"/>
                <c:pt idx="0">
                  <c:v>2 - Autres personnels soignants</c:v>
                </c:pt>
              </c:strCache>
            </c:strRef>
          </c:tx>
          <c:spPr>
            <a:ln w="28575" cap="rnd">
              <a:solidFill>
                <a:schemeClr val="accent3"/>
              </a:solidFill>
              <a:round/>
            </a:ln>
            <a:effectLst/>
          </c:spPr>
          <c:marker>
            <c:symbol val="none"/>
          </c:marker>
          <c:cat>
            <c:multiLvlStrRef>
              <c:f>'Graphique 44'!$B$7:$C$31</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2017</c:v>
                  </c:pt>
                  <c:pt idx="4">
                    <c:v>2018</c:v>
                  </c:pt>
                  <c:pt idx="8">
                    <c:v>2019</c:v>
                  </c:pt>
                  <c:pt idx="12">
                    <c:v>2020</c:v>
                  </c:pt>
                  <c:pt idx="16">
                    <c:v>2021</c:v>
                  </c:pt>
                  <c:pt idx="20">
                    <c:v>2022</c:v>
                  </c:pt>
                  <c:pt idx="24">
                    <c:v>2023</c:v>
                  </c:pt>
                </c:lvl>
              </c:multiLvlStrCache>
            </c:multiLvlStrRef>
          </c:cat>
          <c:val>
            <c:numRef>
              <c:f>'Graphique 44'!$E$7:$E$31</c:f>
              <c:numCache>
                <c:formatCode>0.0</c:formatCode>
                <c:ptCount val="25"/>
                <c:pt idx="0">
                  <c:v>5.5E-2</c:v>
                </c:pt>
                <c:pt idx="1">
                  <c:v>6.8000000000000005E-2</c:v>
                </c:pt>
                <c:pt idx="2">
                  <c:v>5.8000000000000003E-2</c:v>
                </c:pt>
                <c:pt idx="3">
                  <c:v>0.06</c:v>
                </c:pt>
                <c:pt idx="4">
                  <c:v>7.0000000000000007E-2</c:v>
                </c:pt>
                <c:pt idx="5">
                  <c:v>7.0000000000000007E-2</c:v>
                </c:pt>
                <c:pt idx="6">
                  <c:v>7.0000000000000007E-2</c:v>
                </c:pt>
                <c:pt idx="7">
                  <c:v>7.1999999999999995E-2</c:v>
                </c:pt>
                <c:pt idx="8">
                  <c:v>7.5999999999999998E-2</c:v>
                </c:pt>
                <c:pt idx="9">
                  <c:v>9.7000000000000003E-2</c:v>
                </c:pt>
                <c:pt idx="10">
                  <c:v>0.105</c:v>
                </c:pt>
                <c:pt idx="11">
                  <c:v>0.104</c:v>
                </c:pt>
                <c:pt idx="12">
                  <c:v>0.106</c:v>
                </c:pt>
                <c:pt idx="13">
                  <c:v>0.113</c:v>
                </c:pt>
                <c:pt idx="14">
                  <c:v>0.152</c:v>
                </c:pt>
                <c:pt idx="15">
                  <c:v>0.14199999999999999</c:v>
                </c:pt>
                <c:pt idx="16">
                  <c:v>0.17199999999999999</c:v>
                </c:pt>
                <c:pt idx="17">
                  <c:v>0.14699999999999999</c:v>
                </c:pt>
                <c:pt idx="18">
                  <c:v>0.187</c:v>
                </c:pt>
                <c:pt idx="19">
                  <c:v>0.188</c:v>
                </c:pt>
                <c:pt idx="20">
                  <c:v>0.218</c:v>
                </c:pt>
                <c:pt idx="21">
                  <c:v>0.189</c:v>
                </c:pt>
                <c:pt idx="22">
                  <c:v>0.186</c:v>
                </c:pt>
                <c:pt idx="23">
                  <c:v>0.21199999999999999</c:v>
                </c:pt>
                <c:pt idx="24">
                  <c:v>0.17299999999999999</c:v>
                </c:pt>
              </c:numCache>
            </c:numRef>
          </c:val>
          <c:smooth val="0"/>
          <c:extLst>
            <c:ext xmlns:c16="http://schemas.microsoft.com/office/drawing/2014/chart" uri="{C3380CC4-5D6E-409C-BE32-E72D297353CC}">
              <c16:uniqueId val="{00000001-BC13-4253-93CE-516727FEE0E9}"/>
            </c:ext>
          </c:extLst>
        </c:ser>
        <c:ser>
          <c:idx val="2"/>
          <c:order val="2"/>
          <c:tx>
            <c:strRef>
              <c:f>'Graphique 44'!$F$6</c:f>
              <c:strCache>
                <c:ptCount val="1"/>
                <c:pt idx="0">
                  <c:v>3 - Personnel médical</c:v>
                </c:pt>
              </c:strCache>
            </c:strRef>
          </c:tx>
          <c:spPr>
            <a:ln w="28575" cap="rnd">
              <a:solidFill>
                <a:schemeClr val="accent5"/>
              </a:solidFill>
              <a:round/>
            </a:ln>
            <a:effectLst/>
          </c:spPr>
          <c:marker>
            <c:symbol val="none"/>
          </c:marker>
          <c:cat>
            <c:multiLvlStrRef>
              <c:f>'Graphique 44'!$B$7:$C$31</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2017</c:v>
                  </c:pt>
                  <c:pt idx="4">
                    <c:v>2018</c:v>
                  </c:pt>
                  <c:pt idx="8">
                    <c:v>2019</c:v>
                  </c:pt>
                  <c:pt idx="12">
                    <c:v>2020</c:v>
                  </c:pt>
                  <c:pt idx="16">
                    <c:v>2021</c:v>
                  </c:pt>
                  <c:pt idx="20">
                    <c:v>2022</c:v>
                  </c:pt>
                  <c:pt idx="24">
                    <c:v>2023</c:v>
                  </c:pt>
                </c:lvl>
              </c:multiLvlStrCache>
            </c:multiLvlStrRef>
          </c:cat>
          <c:val>
            <c:numRef>
              <c:f>'Graphique 44'!$F$7:$F$31</c:f>
              <c:numCache>
                <c:formatCode>0.0</c:formatCode>
                <c:ptCount val="25"/>
                <c:pt idx="0">
                  <c:v>0.11799999999999999</c:v>
                </c:pt>
                <c:pt idx="1">
                  <c:v>0.11700000000000001</c:v>
                </c:pt>
                <c:pt idx="2">
                  <c:v>0.128</c:v>
                </c:pt>
                <c:pt idx="3">
                  <c:v>0.13</c:v>
                </c:pt>
                <c:pt idx="4">
                  <c:v>0.14499999999999999</c:v>
                </c:pt>
                <c:pt idx="5">
                  <c:v>0.16900000000000001</c:v>
                </c:pt>
                <c:pt idx="6">
                  <c:v>0.18</c:v>
                </c:pt>
                <c:pt idx="7">
                  <c:v>0.158</c:v>
                </c:pt>
                <c:pt idx="8">
                  <c:v>0.192</c:v>
                </c:pt>
                <c:pt idx="9">
                  <c:v>0.183</c:v>
                </c:pt>
                <c:pt idx="10">
                  <c:v>0.191</c:v>
                </c:pt>
                <c:pt idx="11">
                  <c:v>0.21299999999999999</c:v>
                </c:pt>
                <c:pt idx="12">
                  <c:v>0.19</c:v>
                </c:pt>
                <c:pt idx="13">
                  <c:v>0.20499999999999999</c:v>
                </c:pt>
                <c:pt idx="14">
                  <c:v>0.222</c:v>
                </c:pt>
                <c:pt idx="15">
                  <c:v>0.214</c:v>
                </c:pt>
                <c:pt idx="16">
                  <c:v>0.219</c:v>
                </c:pt>
                <c:pt idx="17">
                  <c:v>0.19700000000000001</c:v>
                </c:pt>
                <c:pt idx="18">
                  <c:v>0.17100000000000001</c:v>
                </c:pt>
                <c:pt idx="19">
                  <c:v>0.17100000000000001</c:v>
                </c:pt>
                <c:pt idx="20">
                  <c:v>0.18099999999999999</c:v>
                </c:pt>
                <c:pt idx="21">
                  <c:v>0.189</c:v>
                </c:pt>
                <c:pt idx="22">
                  <c:v>0.17499999999999999</c:v>
                </c:pt>
                <c:pt idx="23">
                  <c:v>0.19</c:v>
                </c:pt>
                <c:pt idx="24">
                  <c:v>0.19800000000000001</c:v>
                </c:pt>
              </c:numCache>
            </c:numRef>
          </c:val>
          <c:smooth val="0"/>
          <c:extLst>
            <c:ext xmlns:c16="http://schemas.microsoft.com/office/drawing/2014/chart" uri="{C3380CC4-5D6E-409C-BE32-E72D297353CC}">
              <c16:uniqueId val="{00000002-BC13-4253-93CE-516727FEE0E9}"/>
            </c:ext>
          </c:extLst>
        </c:ser>
        <c:ser>
          <c:idx val="3"/>
          <c:order val="3"/>
          <c:tx>
            <c:strRef>
              <c:f>'Graphique 44'!$G$6</c:f>
              <c:strCache>
                <c:ptCount val="1"/>
                <c:pt idx="0">
                  <c:v>4 - Autres filières professionnelles</c:v>
                </c:pt>
              </c:strCache>
            </c:strRef>
          </c:tx>
          <c:spPr>
            <a:ln w="28575" cap="rnd">
              <a:solidFill>
                <a:sysClr val="windowText" lastClr="000000"/>
              </a:solidFill>
              <a:prstDash val="solid"/>
              <a:round/>
            </a:ln>
            <a:effectLst/>
          </c:spPr>
          <c:marker>
            <c:symbol val="none"/>
          </c:marker>
          <c:cat>
            <c:multiLvlStrRef>
              <c:f>'Graphique 44'!$B$7:$C$31</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2017</c:v>
                  </c:pt>
                  <c:pt idx="4">
                    <c:v>2018</c:v>
                  </c:pt>
                  <c:pt idx="8">
                    <c:v>2019</c:v>
                  </c:pt>
                  <c:pt idx="12">
                    <c:v>2020</c:v>
                  </c:pt>
                  <c:pt idx="16">
                    <c:v>2021</c:v>
                  </c:pt>
                  <c:pt idx="20">
                    <c:v>2022</c:v>
                  </c:pt>
                  <c:pt idx="24">
                    <c:v>2023</c:v>
                  </c:pt>
                </c:lvl>
              </c:multiLvlStrCache>
            </c:multiLvlStrRef>
          </c:cat>
          <c:val>
            <c:numRef>
              <c:f>'Graphique 44'!$G$7:$G$31</c:f>
              <c:numCache>
                <c:formatCode>0.0</c:formatCode>
                <c:ptCount val="25"/>
                <c:pt idx="0">
                  <c:v>2.9000000000000001E-2</c:v>
                </c:pt>
                <c:pt idx="1">
                  <c:v>3.2000000000000001E-2</c:v>
                </c:pt>
                <c:pt idx="2">
                  <c:v>2.5000000000000001E-2</c:v>
                </c:pt>
                <c:pt idx="3">
                  <c:v>2.4E-2</c:v>
                </c:pt>
                <c:pt idx="4">
                  <c:v>2.9000000000000001E-2</c:v>
                </c:pt>
                <c:pt idx="5">
                  <c:v>3.4000000000000002E-2</c:v>
                </c:pt>
                <c:pt idx="6">
                  <c:v>3.2000000000000001E-2</c:v>
                </c:pt>
                <c:pt idx="7">
                  <c:v>0.03</c:v>
                </c:pt>
                <c:pt idx="8">
                  <c:v>0.03</c:v>
                </c:pt>
                <c:pt idx="9">
                  <c:v>3.3000000000000002E-2</c:v>
                </c:pt>
                <c:pt idx="10">
                  <c:v>4.3999999999999997E-2</c:v>
                </c:pt>
                <c:pt idx="11">
                  <c:v>3.9E-2</c:v>
                </c:pt>
                <c:pt idx="12">
                  <c:v>4.2999999999999997E-2</c:v>
                </c:pt>
                <c:pt idx="13">
                  <c:v>3.5000000000000003E-2</c:v>
                </c:pt>
                <c:pt idx="14">
                  <c:v>4.4999999999999998E-2</c:v>
                </c:pt>
                <c:pt idx="15">
                  <c:v>3.3000000000000002E-2</c:v>
                </c:pt>
                <c:pt idx="16">
                  <c:v>4.1000000000000002E-2</c:v>
                </c:pt>
                <c:pt idx="17">
                  <c:v>4.5999999999999999E-2</c:v>
                </c:pt>
                <c:pt idx="18">
                  <c:v>7.3999999999999996E-2</c:v>
                </c:pt>
                <c:pt idx="19">
                  <c:v>7.5999999999999998E-2</c:v>
                </c:pt>
                <c:pt idx="20">
                  <c:v>6.5000000000000002E-2</c:v>
                </c:pt>
                <c:pt idx="21">
                  <c:v>6.2E-2</c:v>
                </c:pt>
                <c:pt idx="22">
                  <c:v>5.8999999999999997E-2</c:v>
                </c:pt>
                <c:pt idx="23">
                  <c:v>6.5000000000000002E-2</c:v>
                </c:pt>
                <c:pt idx="24">
                  <c:v>7.0000000000000007E-2</c:v>
                </c:pt>
              </c:numCache>
            </c:numRef>
          </c:val>
          <c:smooth val="0"/>
          <c:extLst>
            <c:ext xmlns:c16="http://schemas.microsoft.com/office/drawing/2014/chart" uri="{C3380CC4-5D6E-409C-BE32-E72D297353CC}">
              <c16:uniqueId val="{00000003-BC13-4253-93CE-516727FEE0E9}"/>
            </c:ext>
          </c:extLst>
        </c:ser>
        <c:ser>
          <c:idx val="4"/>
          <c:order val="4"/>
          <c:tx>
            <c:strRef>
              <c:f>'Graphique 44'!$H$6</c:f>
              <c:strCache>
                <c:ptCount val="1"/>
                <c:pt idx="0">
                  <c:v>Ensemble</c:v>
                </c:pt>
              </c:strCache>
            </c:strRef>
          </c:tx>
          <c:spPr>
            <a:ln w="28575" cap="rnd">
              <a:solidFill>
                <a:schemeClr val="tx1"/>
              </a:solidFill>
              <a:prstDash val="dash"/>
              <a:round/>
            </a:ln>
            <a:effectLst/>
          </c:spPr>
          <c:marker>
            <c:symbol val="none"/>
          </c:marker>
          <c:cat>
            <c:multiLvlStrRef>
              <c:f>'Graphique 44'!$B$7:$C$31</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2017</c:v>
                  </c:pt>
                  <c:pt idx="4">
                    <c:v>2018</c:v>
                  </c:pt>
                  <c:pt idx="8">
                    <c:v>2019</c:v>
                  </c:pt>
                  <c:pt idx="12">
                    <c:v>2020</c:v>
                  </c:pt>
                  <c:pt idx="16">
                    <c:v>2021</c:v>
                  </c:pt>
                  <c:pt idx="20">
                    <c:v>2022</c:v>
                  </c:pt>
                  <c:pt idx="24">
                    <c:v>2023</c:v>
                  </c:pt>
                </c:lvl>
              </c:multiLvlStrCache>
            </c:multiLvlStrRef>
          </c:cat>
          <c:val>
            <c:numRef>
              <c:f>'Graphique 44'!$H$7:$H$31</c:f>
              <c:numCache>
                <c:formatCode>0.0</c:formatCode>
                <c:ptCount val="25"/>
                <c:pt idx="0">
                  <c:v>7.6999999999999999E-2</c:v>
                </c:pt>
                <c:pt idx="1">
                  <c:v>0.09</c:v>
                </c:pt>
                <c:pt idx="2">
                  <c:v>8.6999999999999994E-2</c:v>
                </c:pt>
                <c:pt idx="3">
                  <c:v>9.1999999999999998E-2</c:v>
                </c:pt>
                <c:pt idx="4">
                  <c:v>9.6000000000000002E-2</c:v>
                </c:pt>
                <c:pt idx="5">
                  <c:v>0.11</c:v>
                </c:pt>
                <c:pt idx="6">
                  <c:v>0.112</c:v>
                </c:pt>
                <c:pt idx="7">
                  <c:v>0.109</c:v>
                </c:pt>
                <c:pt idx="8">
                  <c:v>0.121</c:v>
                </c:pt>
                <c:pt idx="9">
                  <c:v>0.13400000000000001</c:v>
                </c:pt>
                <c:pt idx="10">
                  <c:v>0.14799999999999999</c:v>
                </c:pt>
                <c:pt idx="11">
                  <c:v>0.152</c:v>
                </c:pt>
                <c:pt idx="12">
                  <c:v>0.152</c:v>
                </c:pt>
                <c:pt idx="13">
                  <c:v>0.13700000000000001</c:v>
                </c:pt>
                <c:pt idx="14">
                  <c:v>0.17599999999999999</c:v>
                </c:pt>
                <c:pt idx="15">
                  <c:v>0.16600000000000001</c:v>
                </c:pt>
                <c:pt idx="16">
                  <c:v>0.2</c:v>
                </c:pt>
                <c:pt idx="17">
                  <c:v>0.17799999999999999</c:v>
                </c:pt>
                <c:pt idx="18">
                  <c:v>0.19500000000000001</c:v>
                </c:pt>
                <c:pt idx="19">
                  <c:v>0.20899999999999999</c:v>
                </c:pt>
                <c:pt idx="20">
                  <c:v>0.23699999999999999</c:v>
                </c:pt>
                <c:pt idx="21">
                  <c:v>0.248</c:v>
                </c:pt>
                <c:pt idx="22">
                  <c:v>0.25800000000000001</c:v>
                </c:pt>
                <c:pt idx="23">
                  <c:v>0.29399999999999998</c:v>
                </c:pt>
                <c:pt idx="24">
                  <c:v>0.28399999999999997</c:v>
                </c:pt>
              </c:numCache>
            </c:numRef>
          </c:val>
          <c:smooth val="0"/>
          <c:extLst>
            <c:ext xmlns:c16="http://schemas.microsoft.com/office/drawing/2014/chart" uri="{C3380CC4-5D6E-409C-BE32-E72D297353CC}">
              <c16:uniqueId val="{00000004-BC13-4253-93CE-516727FEE0E9}"/>
            </c:ext>
          </c:extLst>
        </c:ser>
        <c:dLbls>
          <c:showLegendKey val="0"/>
          <c:showVal val="0"/>
          <c:showCatName val="0"/>
          <c:showSerName val="0"/>
          <c:showPercent val="0"/>
          <c:showBubbleSize val="0"/>
        </c:dLbls>
        <c:smooth val="0"/>
        <c:axId val="483312152"/>
        <c:axId val="483313464"/>
      </c:lineChart>
      <c:catAx>
        <c:axId val="483312152"/>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3313464"/>
        <c:crosses val="autoZero"/>
        <c:auto val="1"/>
        <c:lblAlgn val="ctr"/>
        <c:lblOffset val="100"/>
        <c:noMultiLvlLbl val="0"/>
      </c:catAx>
      <c:valAx>
        <c:axId val="483313464"/>
        <c:scaling>
          <c:orientation val="minMax"/>
          <c:max val="0.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3312152"/>
        <c:crosses val="autoZero"/>
        <c:crossBetween val="between"/>
      </c:valAx>
      <c:spPr>
        <a:noFill/>
        <a:ln>
          <a:solidFill>
            <a:sysClr val="windowText" lastClr="000000"/>
          </a:solidFill>
        </a:ln>
        <a:effectLst/>
      </c:spPr>
    </c:plotArea>
    <c:legend>
      <c:legendPos val="b"/>
      <c:layout>
        <c:manualLayout>
          <c:xMode val="edge"/>
          <c:yMode val="edge"/>
          <c:x val="0"/>
          <c:y val="0.86690641901578203"/>
          <c:w val="1"/>
          <c:h val="0.113203980448251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'Graphique 45'!$B$10</c:f>
              <c:strCache>
                <c:ptCount val="1"/>
                <c:pt idx="0">
                  <c:v>Postes non pourvus </c:v>
                </c:pt>
              </c:strCache>
            </c:strRef>
          </c:tx>
          <c:spPr>
            <a:pattFill prst="wdDnDiag">
              <a:fgClr>
                <a:schemeClr val="tx2"/>
              </a:fgClr>
              <a:bgClr>
                <a:schemeClr val="bg1"/>
              </a:bgClr>
            </a:pattFill>
            <a:ln>
              <a:solidFill>
                <a:sysClr val="windowText" lastClr="000000"/>
              </a:solidFill>
            </a:ln>
            <a:effectLst/>
          </c:spPr>
          <c:invertIfNegative val="0"/>
          <c:cat>
            <c:numRef>
              <c:f>'Graphique 45'!$C$7:$N$7</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'Graphique 45'!$C$10:$N$10</c:f>
              <c:numCache>
                <c:formatCode>#,##0</c:formatCode>
                <c:ptCount val="12"/>
                <c:pt idx="0">
                  <c:v>1440</c:v>
                </c:pt>
                <c:pt idx="1">
                  <c:v>32</c:v>
                </c:pt>
                <c:pt idx="2">
                  <c:v>1353</c:v>
                </c:pt>
                <c:pt idx="3">
                  <c:v>5437</c:v>
                </c:pt>
                <c:pt idx="4">
                  <c:v>408</c:v>
                </c:pt>
                <c:pt idx="5">
                  <c:v>3427</c:v>
                </c:pt>
                <c:pt idx="6">
                  <c:v>3164.885938943291</c:v>
                </c:pt>
                <c:pt idx="7">
                  <c:v>2016.5848449207842</c:v>
                </c:pt>
                <c:pt idx="8">
                  <c:v>2275</c:v>
                </c:pt>
                <c:pt idx="9">
                  <c:v>2241.8442291398096</c:v>
                </c:pt>
                <c:pt idx="10">
                  <c:v>2785.7865200000015</c:v>
                </c:pt>
                <c:pt idx="11">
                  <c:v>5907.1399999999994</c:v>
                </c:pt>
              </c:numCache>
            </c:numRef>
          </c:val>
          <c:extLst>
            <c:ext xmlns:c16="http://schemas.microsoft.com/office/drawing/2014/chart" uri="{C3380CC4-5D6E-409C-BE32-E72D297353CC}">
              <c16:uniqueId val="{00000000-63E9-4D7B-95F4-293AADC71631}"/>
            </c:ext>
          </c:extLst>
        </c:ser>
        <c:dLbls>
          <c:showLegendKey val="0"/>
          <c:showVal val="0"/>
          <c:showCatName val="0"/>
          <c:showSerName val="0"/>
          <c:showPercent val="0"/>
          <c:showBubbleSize val="0"/>
        </c:dLbls>
        <c:gapWidth val="219"/>
        <c:axId val="977183759"/>
        <c:axId val="977191247"/>
      </c:barChart>
      <c:lineChart>
        <c:grouping val="standard"/>
        <c:varyColors val="0"/>
        <c:ser>
          <c:idx val="1"/>
          <c:order val="1"/>
          <c:tx>
            <c:strRef>
              <c:f>'Graphique 45'!$B$11</c:f>
              <c:strCache>
                <c:ptCount val="1"/>
                <c:pt idx="0">
                  <c:v>En % des postes offerts </c:v>
                </c:pt>
              </c:strCache>
            </c:strRef>
          </c:tx>
          <c:spPr>
            <a:ln w="19050" cap="rnd">
              <a:solidFill>
                <a:schemeClr val="accent1">
                  <a:lumMod val="50000"/>
                </a:schemeClr>
              </a:solidFill>
              <a:round/>
            </a:ln>
            <a:effectLst/>
          </c:spPr>
          <c:marker>
            <c:symbol val="triangle"/>
            <c:size val="5"/>
            <c:spPr>
              <a:solidFill>
                <a:schemeClr val="accent1">
                  <a:lumMod val="50000"/>
                </a:schemeClr>
              </a:solidFill>
              <a:ln w="9525">
                <a:solidFill>
                  <a:schemeClr val="accent1">
                    <a:lumMod val="50000"/>
                  </a:schemeClr>
                </a:solidFill>
              </a:ln>
              <a:effectLst/>
            </c:spPr>
          </c:marker>
          <c:val>
            <c:numRef>
              <c:f>'Graphique 45'!$C$11:$N$11</c:f>
              <c:numCache>
                <c:formatCode>0%</c:formatCode>
                <c:ptCount val="12"/>
                <c:pt idx="0">
                  <c:v>6.0560181680545042E-2</c:v>
                </c:pt>
                <c:pt idx="1">
                  <c:v>1.2798464184297885E-3</c:v>
                </c:pt>
                <c:pt idx="2">
                  <c:v>4.5376798470671095E-2</c:v>
                </c:pt>
                <c:pt idx="3">
                  <c:v>0.10597614221113363</c:v>
                </c:pt>
                <c:pt idx="4">
                  <c:v>1.0907049482717139E-2</c:v>
                </c:pt>
                <c:pt idx="5">
                  <c:v>7.8536071133926119E-2</c:v>
                </c:pt>
                <c:pt idx="6">
                  <c:v>7.3266336526686834E-2</c:v>
                </c:pt>
                <c:pt idx="7">
                  <c:v>4.8827720215999619E-2</c:v>
                </c:pt>
                <c:pt idx="8">
                  <c:v>5.7372708244016843E-2</c:v>
                </c:pt>
                <c:pt idx="9">
                  <c:v>5.633906888670611E-2</c:v>
                </c:pt>
                <c:pt idx="10">
                  <c:v>7.0236404709679082E-2</c:v>
                </c:pt>
                <c:pt idx="11">
                  <c:v>0.14643381259295982</c:v>
                </c:pt>
              </c:numCache>
            </c:numRef>
          </c:val>
          <c:smooth val="0"/>
          <c:extLst>
            <c:ext xmlns:c16="http://schemas.microsoft.com/office/drawing/2014/chart" uri="{C3380CC4-5D6E-409C-BE32-E72D297353CC}">
              <c16:uniqueId val="{00000001-63E9-4D7B-95F4-293AADC71631}"/>
            </c:ext>
          </c:extLst>
        </c:ser>
        <c:dLbls>
          <c:showLegendKey val="0"/>
          <c:showVal val="0"/>
          <c:showCatName val="0"/>
          <c:showSerName val="0"/>
          <c:showPercent val="0"/>
          <c:showBubbleSize val="0"/>
        </c:dLbls>
        <c:marker val="1"/>
        <c:smooth val="0"/>
        <c:axId val="977172943"/>
        <c:axId val="977156719"/>
      </c:lineChart>
      <c:catAx>
        <c:axId val="977183759"/>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7191247"/>
        <c:crosses val="autoZero"/>
        <c:auto val="1"/>
        <c:lblAlgn val="ctr"/>
        <c:lblOffset val="100"/>
        <c:noMultiLvlLbl val="0"/>
      </c:catAx>
      <c:valAx>
        <c:axId val="977191247"/>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7183759"/>
        <c:crosses val="autoZero"/>
        <c:crossBetween val="between"/>
      </c:valAx>
      <c:valAx>
        <c:axId val="977156719"/>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7172943"/>
        <c:crosses val="max"/>
        <c:crossBetween val="between"/>
      </c:valAx>
      <c:catAx>
        <c:axId val="977172943"/>
        <c:scaling>
          <c:orientation val="minMax"/>
        </c:scaling>
        <c:delete val="1"/>
        <c:axPos val="b"/>
        <c:majorTickMark val="out"/>
        <c:minorTickMark val="none"/>
        <c:tickLblPos val="nextTo"/>
        <c:crossAx val="977156719"/>
        <c:crosses val="autoZero"/>
        <c:auto val="1"/>
        <c:lblAlgn val="ctr"/>
        <c:lblOffset val="100"/>
        <c:noMultiLvlLbl val="0"/>
      </c:catAx>
      <c:spPr>
        <a:noFill/>
        <a:ln>
          <a:solidFill>
            <a:sysClr val="windowText" lastClr="000000"/>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Enseignement</a:t>
            </a:r>
            <a:r>
              <a:rPr lang="fr-FR" baseline="0"/>
              <a:t> public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7.7418803418803417E-2"/>
          <c:y val="0.17702388888888893"/>
          <c:w val="0.89273076923076922"/>
          <c:h val="0.44671499999999997"/>
        </c:manualLayout>
      </c:layout>
      <c:lineChart>
        <c:grouping val="standard"/>
        <c:varyColors val="0"/>
        <c:ser>
          <c:idx val="0"/>
          <c:order val="0"/>
          <c:tx>
            <c:strRef>
              <c:f>'Graphique 46'!$C$8</c:f>
              <c:strCache>
                <c:ptCount val="1"/>
                <c:pt idx="0">
                  <c:v>1er degré (2000-2024)</c:v>
                </c:pt>
              </c:strCache>
            </c:strRef>
          </c:tx>
          <c:spPr>
            <a:ln w="19050" cap="rnd">
              <a:solidFill>
                <a:schemeClr val="accent1"/>
              </a:solidFill>
              <a:round/>
            </a:ln>
            <a:effectLst/>
          </c:spPr>
          <c:marker>
            <c:symbol val="none"/>
          </c:marker>
          <c:cat>
            <c:numRef>
              <c:f>'Graphique 46'!$D$7:$AB$7</c:f>
              <c:numCache>
                <c:formatCode>0</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'Graphique 46'!$D$8:$AB$8</c:f>
              <c:numCache>
                <c:formatCode>0</c:formatCode>
                <c:ptCount val="25"/>
                <c:pt idx="0">
                  <c:v>100</c:v>
                </c:pt>
                <c:pt idx="1">
                  <c:v>100</c:v>
                </c:pt>
                <c:pt idx="2">
                  <c:v>99.974999999999994</c:v>
                </c:pt>
                <c:pt idx="3">
                  <c:v>100</c:v>
                </c:pt>
                <c:pt idx="4">
                  <c:v>99.860896445131374</c:v>
                </c:pt>
                <c:pt idx="5">
                  <c:v>99.48</c:v>
                </c:pt>
                <c:pt idx="6">
                  <c:v>100.17272727272727</c:v>
                </c:pt>
                <c:pt idx="7">
                  <c:v>99.963302752293572</c:v>
                </c:pt>
                <c:pt idx="8">
                  <c:v>100.12153129430828</c:v>
                </c:pt>
                <c:pt idx="9">
                  <c:v>100.2</c:v>
                </c:pt>
                <c:pt idx="10">
                  <c:v>100.41428571428571</c:v>
                </c:pt>
                <c:pt idx="11">
                  <c:v>99.548387096774192</c:v>
                </c:pt>
                <c:pt idx="12">
                  <c:v>99.59208647766674</c:v>
                </c:pt>
                <c:pt idx="13">
                  <c:v>96.373548234178713</c:v>
                </c:pt>
                <c:pt idx="14">
                  <c:v>99.270945380662127</c:v>
                </c:pt>
                <c:pt idx="15">
                  <c:v>103.13828882463004</c:v>
                </c:pt>
                <c:pt idx="16">
                  <c:v>99.054224464060525</c:v>
                </c:pt>
                <c:pt idx="17">
                  <c:v>99.960617517328288</c:v>
                </c:pt>
                <c:pt idx="18">
                  <c:v>99.677952824440766</c:v>
                </c:pt>
                <c:pt idx="19">
                  <c:v>98.2</c:v>
                </c:pt>
                <c:pt idx="20">
                  <c:v>100.64183691918279</c:v>
                </c:pt>
                <c:pt idx="21">
                  <c:v>98.4</c:v>
                </c:pt>
                <c:pt idx="22">
                  <c:v>83</c:v>
                </c:pt>
                <c:pt idx="23">
                  <c:v>90</c:v>
                </c:pt>
                <c:pt idx="24">
                  <c:v>88.3</c:v>
                </c:pt>
              </c:numCache>
            </c:numRef>
          </c:val>
          <c:smooth val="0"/>
          <c:extLst>
            <c:ext xmlns:c16="http://schemas.microsoft.com/office/drawing/2014/chart" uri="{C3380CC4-5D6E-409C-BE32-E72D297353CC}">
              <c16:uniqueId val="{00000000-3133-4891-A402-3AEADF5CAA3D}"/>
            </c:ext>
          </c:extLst>
        </c:ser>
        <c:ser>
          <c:idx val="1"/>
          <c:order val="1"/>
          <c:tx>
            <c:strRef>
              <c:f>'Graphique 46'!$C$9</c:f>
              <c:strCache>
                <c:ptCount val="1"/>
                <c:pt idx="0">
                  <c:v>2d degré (2000-2024)</c:v>
                </c:pt>
              </c:strCache>
            </c:strRef>
          </c:tx>
          <c:spPr>
            <a:ln w="19050" cap="rnd">
              <a:solidFill>
                <a:schemeClr val="accent3"/>
              </a:solidFill>
              <a:round/>
            </a:ln>
            <a:effectLst/>
          </c:spPr>
          <c:marker>
            <c:symbol val="none"/>
          </c:marker>
          <c:cat>
            <c:numRef>
              <c:f>'Graphique 46'!$D$7:$AB$7</c:f>
              <c:numCache>
                <c:formatCode>0</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'Graphique 46'!$D$9:$AB$9</c:f>
              <c:numCache>
                <c:formatCode>0</c:formatCode>
                <c:ptCount val="25"/>
                <c:pt idx="0">
                  <c:v>107.52024681835711</c:v>
                </c:pt>
                <c:pt idx="1">
                  <c:v>113.73561213812347</c:v>
                </c:pt>
                <c:pt idx="2">
                  <c:v>106.28354725787631</c:v>
                </c:pt>
                <c:pt idx="3">
                  <c:v>96.347724620770123</c:v>
                </c:pt>
                <c:pt idx="4">
                  <c:v>99.148225469728601</c:v>
                </c:pt>
                <c:pt idx="5">
                  <c:v>98.820037105751396</c:v>
                </c:pt>
                <c:pt idx="6">
                  <c:v>99.569230769230771</c:v>
                </c:pt>
                <c:pt idx="7">
                  <c:v>99.620512820512815</c:v>
                </c:pt>
                <c:pt idx="8">
                  <c:v>99.592814371257489</c:v>
                </c:pt>
                <c:pt idx="9">
                  <c:v>99.568862275449106</c:v>
                </c:pt>
                <c:pt idx="10">
                  <c:v>99.240963855421683</c:v>
                </c:pt>
                <c:pt idx="11">
                  <c:v>88.181268882175232</c:v>
                </c:pt>
                <c:pt idx="12">
                  <c:v>90.042143287176401</c:v>
                </c:pt>
                <c:pt idx="13">
                  <c:v>85.637697516930018</c:v>
                </c:pt>
                <c:pt idx="14">
                  <c:v>77.903303015797036</c:v>
                </c:pt>
                <c:pt idx="15">
                  <c:v>86.707907050519466</c:v>
                </c:pt>
                <c:pt idx="16">
                  <c:v>86.970387243735757</c:v>
                </c:pt>
                <c:pt idx="17">
                  <c:v>85.605828220858896</c:v>
                </c:pt>
                <c:pt idx="18">
                  <c:v>93.575631049535019</c:v>
                </c:pt>
                <c:pt idx="19">
                  <c:v>90.3</c:v>
                </c:pt>
                <c:pt idx="20">
                  <c:v>93.126843657817105</c:v>
                </c:pt>
                <c:pt idx="21">
                  <c:v>93.5</c:v>
                </c:pt>
                <c:pt idx="22">
                  <c:v>78.7</c:v>
                </c:pt>
                <c:pt idx="23">
                  <c:v>84</c:v>
                </c:pt>
                <c:pt idx="24">
                  <c:v>88.3</c:v>
                </c:pt>
              </c:numCache>
            </c:numRef>
          </c:val>
          <c:smooth val="0"/>
          <c:extLst>
            <c:ext xmlns:c16="http://schemas.microsoft.com/office/drawing/2014/chart" uri="{C3380CC4-5D6E-409C-BE32-E72D297353CC}">
              <c16:uniqueId val="{00000001-3133-4891-A402-3AEADF5CAA3D}"/>
            </c:ext>
          </c:extLst>
        </c:ser>
        <c:ser>
          <c:idx val="2"/>
          <c:order val="2"/>
          <c:spPr>
            <a:ln w="9525" cap="rnd">
              <a:solidFill>
                <a:sysClr val="windowText" lastClr="000000"/>
              </a:solidFill>
              <a:prstDash val="dash"/>
              <a:round/>
            </a:ln>
            <a:effectLst/>
          </c:spPr>
          <c:marker>
            <c:symbol val="none"/>
          </c:marker>
          <c:val>
            <c:numRef>
              <c:f>'Graphique 46'!$D$12:$AB$12</c:f>
              <c:numCache>
                <c:formatCode>General</c:formatCode>
                <c:ptCount val="2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numCache>
            </c:numRef>
          </c:val>
          <c:smooth val="0"/>
          <c:extLst>
            <c:ext xmlns:c16="http://schemas.microsoft.com/office/drawing/2014/chart" uri="{C3380CC4-5D6E-409C-BE32-E72D297353CC}">
              <c16:uniqueId val="{00000002-3133-4891-A402-3AEADF5CAA3D}"/>
            </c:ext>
          </c:extLst>
        </c:ser>
        <c:dLbls>
          <c:showLegendKey val="0"/>
          <c:showVal val="0"/>
          <c:showCatName val="0"/>
          <c:showSerName val="0"/>
          <c:showPercent val="0"/>
          <c:showBubbleSize val="0"/>
        </c:dLbls>
        <c:smooth val="0"/>
        <c:axId val="1224098144"/>
        <c:axId val="1224097312"/>
      </c:lineChart>
      <c:catAx>
        <c:axId val="1224098144"/>
        <c:scaling>
          <c:orientation val="minMax"/>
        </c:scaling>
        <c:delete val="0"/>
        <c:axPos val="b"/>
        <c:numFmt formatCode="0"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4097312"/>
        <c:crosses val="autoZero"/>
        <c:auto val="1"/>
        <c:lblAlgn val="ctr"/>
        <c:lblOffset val="100"/>
        <c:noMultiLvlLbl val="0"/>
      </c:catAx>
      <c:valAx>
        <c:axId val="1224097312"/>
        <c:scaling>
          <c:orientation val="minMax"/>
          <c:max val="120"/>
          <c:min val="7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4098144"/>
        <c:crosses val="autoZero"/>
        <c:crossBetween val="between"/>
      </c:valAx>
      <c:spPr>
        <a:noFill/>
        <a:ln>
          <a:solidFill>
            <a:sysClr val="windowText" lastClr="000000"/>
          </a:solidFill>
          <a:prstDash val="dash"/>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Enseignement</a:t>
            </a:r>
            <a:r>
              <a:rPr lang="fr-FR" baseline="0"/>
              <a:t> privé</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7.7418803418803417E-2"/>
          <c:y val="0.18407944444444443"/>
          <c:w val="0.89273076923076922"/>
          <c:h val="0.43965944444444444"/>
        </c:manualLayout>
      </c:layout>
      <c:lineChart>
        <c:grouping val="standard"/>
        <c:varyColors val="0"/>
        <c:ser>
          <c:idx val="0"/>
          <c:order val="0"/>
          <c:tx>
            <c:strRef>
              <c:f>'Graphique 46'!$C$10</c:f>
              <c:strCache>
                <c:ptCount val="1"/>
                <c:pt idx="0">
                  <c:v>1er degré (2010-2023)</c:v>
                </c:pt>
              </c:strCache>
            </c:strRef>
          </c:tx>
          <c:spPr>
            <a:ln w="19050" cap="rnd">
              <a:solidFill>
                <a:schemeClr val="accent1"/>
              </a:solidFill>
              <a:round/>
            </a:ln>
            <a:effectLst/>
          </c:spPr>
          <c:marker>
            <c:symbol val="none"/>
          </c:marker>
          <c:cat>
            <c:numRef>
              <c:f>'Graphique 46'!$D$7:$AB$7</c:f>
              <c:numCache>
                <c:formatCode>0</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'Graphique 46'!$D$10:$AB$10</c:f>
              <c:numCache>
                <c:formatCode>0</c:formatCode>
                <c:ptCount val="25"/>
                <c:pt idx="10">
                  <c:v>92.92307692307692</c:v>
                </c:pt>
                <c:pt idx="11">
                  <c:v>88.34688346883469</c:v>
                </c:pt>
                <c:pt idx="12">
                  <c:v>94.730538922155688</c:v>
                </c:pt>
                <c:pt idx="13">
                  <c:v>91.578947368421055</c:v>
                </c:pt>
                <c:pt idx="14">
                  <c:v>92.79069767441861</c:v>
                </c:pt>
                <c:pt idx="15">
                  <c:v>97.604790419161674</c:v>
                </c:pt>
                <c:pt idx="16">
                  <c:v>97.14625445897741</c:v>
                </c:pt>
                <c:pt idx="17">
                  <c:v>99.234972677595621</c:v>
                </c:pt>
                <c:pt idx="18">
                  <c:v>100</c:v>
                </c:pt>
                <c:pt idx="19">
                  <c:v>95.5</c:v>
                </c:pt>
                <c:pt idx="20">
                  <c:v>99.3</c:v>
                </c:pt>
                <c:pt idx="21">
                  <c:v>100.4</c:v>
                </c:pt>
                <c:pt idx="22">
                  <c:v>95.3</c:v>
                </c:pt>
                <c:pt idx="23">
                  <c:v>99</c:v>
                </c:pt>
              </c:numCache>
            </c:numRef>
          </c:val>
          <c:smooth val="0"/>
          <c:extLst>
            <c:ext xmlns:c16="http://schemas.microsoft.com/office/drawing/2014/chart" uri="{C3380CC4-5D6E-409C-BE32-E72D297353CC}">
              <c16:uniqueId val="{00000000-17E0-4328-AD9D-572AA913FB68}"/>
            </c:ext>
          </c:extLst>
        </c:ser>
        <c:ser>
          <c:idx val="1"/>
          <c:order val="1"/>
          <c:tx>
            <c:strRef>
              <c:f>'Graphique 46'!$C$11</c:f>
              <c:strCache>
                <c:ptCount val="1"/>
                <c:pt idx="0">
                  <c:v>2d degré (2000-2023)</c:v>
                </c:pt>
              </c:strCache>
            </c:strRef>
          </c:tx>
          <c:spPr>
            <a:ln w="19050" cap="rnd">
              <a:solidFill>
                <a:schemeClr val="accent3"/>
              </a:solidFill>
              <a:round/>
            </a:ln>
            <a:effectLst/>
          </c:spPr>
          <c:marker>
            <c:symbol val="none"/>
          </c:marker>
          <c:cat>
            <c:numRef>
              <c:f>'Graphique 46'!$D$7:$AB$7</c:f>
              <c:numCache>
                <c:formatCode>0</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'Graphique 46'!$D$11:$AB$11</c:f>
              <c:numCache>
                <c:formatCode>0</c:formatCode>
                <c:ptCount val="25"/>
                <c:pt idx="0">
                  <c:v>48.432432432432435</c:v>
                </c:pt>
                <c:pt idx="1">
                  <c:v>59.621621621621621</c:v>
                </c:pt>
                <c:pt idx="2">
                  <c:v>58.153153153153156</c:v>
                </c:pt>
                <c:pt idx="3">
                  <c:v>58.063063063063062</c:v>
                </c:pt>
                <c:pt idx="4">
                  <c:v>70.61252580867172</c:v>
                </c:pt>
                <c:pt idx="5">
                  <c:v>82.84615384615384</c:v>
                </c:pt>
                <c:pt idx="6">
                  <c:v>78.446771378708547</c:v>
                </c:pt>
                <c:pt idx="7">
                  <c:v>70.846394984326025</c:v>
                </c:pt>
                <c:pt idx="8">
                  <c:v>65.702479338842977</c:v>
                </c:pt>
                <c:pt idx="9">
                  <c:v>91.881443298969074</c:v>
                </c:pt>
                <c:pt idx="10">
                  <c:v>59.611111111111114</c:v>
                </c:pt>
                <c:pt idx="11">
                  <c:v>65.916666666666671</c:v>
                </c:pt>
                <c:pt idx="12">
                  <c:v>77.63636363636364</c:v>
                </c:pt>
                <c:pt idx="13">
                  <c:v>86.545454545454547</c:v>
                </c:pt>
                <c:pt idx="14">
                  <c:v>79.488204718112755</c:v>
                </c:pt>
                <c:pt idx="15">
                  <c:v>90.689655172413794</c:v>
                </c:pt>
                <c:pt idx="16">
                  <c:v>88.666666666666671</c:v>
                </c:pt>
                <c:pt idx="17">
                  <c:v>91.111111111111114</c:v>
                </c:pt>
                <c:pt idx="18">
                  <c:v>98.25</c:v>
                </c:pt>
                <c:pt idx="19">
                  <c:v>96</c:v>
                </c:pt>
                <c:pt idx="20">
                  <c:v>97.407407407407405</c:v>
                </c:pt>
                <c:pt idx="21">
                  <c:v>96.6</c:v>
                </c:pt>
                <c:pt idx="22">
                  <c:v>93.3</c:v>
                </c:pt>
                <c:pt idx="23">
                  <c:v>98</c:v>
                </c:pt>
              </c:numCache>
            </c:numRef>
          </c:val>
          <c:smooth val="0"/>
          <c:extLst>
            <c:ext xmlns:c16="http://schemas.microsoft.com/office/drawing/2014/chart" uri="{C3380CC4-5D6E-409C-BE32-E72D297353CC}">
              <c16:uniqueId val="{00000001-17E0-4328-AD9D-572AA913FB68}"/>
            </c:ext>
          </c:extLst>
        </c:ser>
        <c:ser>
          <c:idx val="2"/>
          <c:order val="2"/>
          <c:tx>
            <c:strRef>
              <c:f>'Graphique 46'!$C$12</c:f>
              <c:strCache>
                <c:ptCount val="1"/>
              </c:strCache>
            </c:strRef>
          </c:tx>
          <c:spPr>
            <a:ln w="9525" cap="rnd">
              <a:solidFill>
                <a:sysClr val="windowText" lastClr="000000"/>
              </a:solidFill>
              <a:prstDash val="dash"/>
              <a:round/>
            </a:ln>
            <a:effectLst/>
          </c:spPr>
          <c:marker>
            <c:symbol val="none"/>
          </c:marker>
          <c:cat>
            <c:numRef>
              <c:f>'Graphique 46'!$D$7:$AB$7</c:f>
              <c:numCache>
                <c:formatCode>0</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'Graphique 46'!$D$12:$AB$12</c:f>
              <c:numCache>
                <c:formatCode>General</c:formatCode>
                <c:ptCount val="2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numCache>
            </c:numRef>
          </c:val>
          <c:smooth val="0"/>
          <c:extLst>
            <c:ext xmlns:c16="http://schemas.microsoft.com/office/drawing/2014/chart" uri="{C3380CC4-5D6E-409C-BE32-E72D297353CC}">
              <c16:uniqueId val="{00000002-17E0-4328-AD9D-572AA913FB68}"/>
            </c:ext>
          </c:extLst>
        </c:ser>
        <c:dLbls>
          <c:showLegendKey val="0"/>
          <c:showVal val="0"/>
          <c:showCatName val="0"/>
          <c:showSerName val="0"/>
          <c:showPercent val="0"/>
          <c:showBubbleSize val="0"/>
        </c:dLbls>
        <c:smooth val="0"/>
        <c:axId val="1534720224"/>
        <c:axId val="1534738944"/>
      </c:lineChart>
      <c:catAx>
        <c:axId val="1534720224"/>
        <c:scaling>
          <c:orientation val="minMax"/>
        </c:scaling>
        <c:delete val="0"/>
        <c:axPos val="b"/>
        <c:numFmt formatCode="0" sourceLinked="1"/>
        <c:majorTickMark val="none"/>
        <c:minorTickMark val="none"/>
        <c:tickLblPos val="nextTo"/>
        <c:spPr>
          <a:noFill/>
          <a:ln w="9525" cap="flat" cmpd="sng" algn="ctr">
            <a:solidFill>
              <a:sysClr val="windowText" lastClr="000000"/>
            </a:solidFill>
            <a:prstDash val="dash"/>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4738944"/>
        <c:crosses val="autoZero"/>
        <c:auto val="1"/>
        <c:lblAlgn val="ctr"/>
        <c:lblOffset val="100"/>
        <c:noMultiLvlLbl val="0"/>
      </c:catAx>
      <c:valAx>
        <c:axId val="1534738944"/>
        <c:scaling>
          <c:orientation val="minMax"/>
          <c:max val="120"/>
          <c:min val="4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4720224"/>
        <c:crosses val="autoZero"/>
        <c:crossBetween val="between"/>
      </c:valAx>
      <c:spPr>
        <a:noFill/>
        <a:ln>
          <a:solidFill>
            <a:sysClr val="windowText" lastClr="000000"/>
          </a:solidFill>
          <a:prstDash val="dash"/>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5334140924691"/>
          <c:y val="7.2822922296138154E-2"/>
          <c:w val="0.8215001696216544"/>
          <c:h val="0.71854005941439925"/>
        </c:manualLayout>
      </c:layout>
      <c:lineChart>
        <c:grouping val="standard"/>
        <c:varyColors val="0"/>
        <c:ser>
          <c:idx val="0"/>
          <c:order val="0"/>
          <c:tx>
            <c:strRef>
              <c:f>'Graphique 47'!$C$8</c:f>
              <c:strCache>
                <c:ptCount val="1"/>
                <c:pt idx="0">
                  <c:v>Sortants</c:v>
                </c:pt>
              </c:strCache>
            </c:strRef>
          </c:tx>
          <c:spPr>
            <a:ln w="28575" cap="rnd">
              <a:solidFill>
                <a:srgbClr val="00B0F0"/>
              </a:solidFill>
              <a:round/>
            </a:ln>
            <a:effectLst/>
          </c:spPr>
          <c:marker>
            <c:symbol val="none"/>
          </c:marker>
          <c:cat>
            <c:numRef>
              <c:f>'Graphique 47'!$B$9:$B$17</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'Graphique 47'!$C$9:$C$17</c:f>
              <c:numCache>
                <c:formatCode>_-* #\ ##0_-;\-* #\ ##0_-;_-* "-"??_-;_-@_-</c:formatCode>
                <c:ptCount val="9"/>
                <c:pt idx="0">
                  <c:v>151500</c:v>
                </c:pt>
                <c:pt idx="1">
                  <c:v>153500</c:v>
                </c:pt>
                <c:pt idx="2">
                  <c:v>163100</c:v>
                </c:pt>
                <c:pt idx="3">
                  <c:v>174000</c:v>
                </c:pt>
                <c:pt idx="4">
                  <c:v>179100</c:v>
                </c:pt>
                <c:pt idx="5">
                  <c:v>176000</c:v>
                </c:pt>
                <c:pt idx="6">
                  <c:v>179300</c:v>
                </c:pt>
                <c:pt idx="7">
                  <c:v>189800</c:v>
                </c:pt>
                <c:pt idx="8">
                  <c:v>199700</c:v>
                </c:pt>
              </c:numCache>
            </c:numRef>
          </c:val>
          <c:smooth val="0"/>
          <c:extLst>
            <c:ext xmlns:c16="http://schemas.microsoft.com/office/drawing/2014/chart" uri="{C3380CC4-5D6E-409C-BE32-E72D297353CC}">
              <c16:uniqueId val="{00000000-7166-4FCC-880F-A2CD35CB4068}"/>
            </c:ext>
          </c:extLst>
        </c:ser>
        <c:ser>
          <c:idx val="1"/>
          <c:order val="1"/>
          <c:tx>
            <c:strRef>
              <c:f>'Graphique 47'!$D$8</c:f>
              <c:strCache>
                <c:ptCount val="1"/>
                <c:pt idx="0">
                  <c:v>Effectifs des nouvelles pensions de droit direct civiles</c:v>
                </c:pt>
              </c:strCache>
            </c:strRef>
          </c:tx>
          <c:spPr>
            <a:ln w="28575" cap="rnd">
              <a:solidFill>
                <a:schemeClr val="accent3"/>
              </a:solidFill>
              <a:round/>
            </a:ln>
            <a:effectLst/>
          </c:spPr>
          <c:marker>
            <c:symbol val="none"/>
          </c:marker>
          <c:cat>
            <c:numRef>
              <c:f>'Graphique 47'!$B$9:$B$17</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'Graphique 47'!$D$9:$D$17</c:f>
              <c:numCache>
                <c:formatCode>_-* #\ ##0_-;\-* #\ ##0_-;_-* "-"??_-;_-@_-</c:formatCode>
                <c:ptCount val="9"/>
                <c:pt idx="0">
                  <c:v>98700</c:v>
                </c:pt>
                <c:pt idx="1">
                  <c:v>95663.000000000015</c:v>
                </c:pt>
                <c:pt idx="2">
                  <c:v>100894</c:v>
                </c:pt>
                <c:pt idx="3">
                  <c:v>112282.99999999999</c:v>
                </c:pt>
                <c:pt idx="4">
                  <c:v>112634</c:v>
                </c:pt>
                <c:pt idx="5">
                  <c:v>110672</c:v>
                </c:pt>
                <c:pt idx="6">
                  <c:v>109334</c:v>
                </c:pt>
                <c:pt idx="7">
                  <c:v>114918</c:v>
                </c:pt>
                <c:pt idx="8">
                  <c:v>122121</c:v>
                </c:pt>
              </c:numCache>
            </c:numRef>
          </c:val>
          <c:smooth val="0"/>
          <c:extLst>
            <c:ext xmlns:c16="http://schemas.microsoft.com/office/drawing/2014/chart" uri="{C3380CC4-5D6E-409C-BE32-E72D297353CC}">
              <c16:uniqueId val="{00000001-7166-4FCC-880F-A2CD35CB4068}"/>
            </c:ext>
          </c:extLst>
        </c:ser>
        <c:ser>
          <c:idx val="2"/>
          <c:order val="2"/>
          <c:tx>
            <c:strRef>
              <c:f>'Graphique 47'!$E$8</c:f>
              <c:strCache>
                <c:ptCount val="1"/>
                <c:pt idx="0">
                  <c:v>Différence </c:v>
                </c:pt>
              </c:strCache>
            </c:strRef>
          </c:tx>
          <c:spPr>
            <a:ln w="28575" cap="rnd">
              <a:solidFill>
                <a:sysClr val="windowText" lastClr="000000"/>
              </a:solidFill>
              <a:round/>
            </a:ln>
            <a:effectLst/>
          </c:spPr>
          <c:marker>
            <c:symbol val="none"/>
          </c:marker>
          <c:cat>
            <c:numRef>
              <c:f>'Graphique 47'!$B$9:$B$17</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'Graphique 47'!$E$9:$E$17</c:f>
              <c:numCache>
                <c:formatCode>_-* #\ ##0_-;\-* #\ ##0_-;_-* "-"??_-;_-@_-</c:formatCode>
                <c:ptCount val="9"/>
                <c:pt idx="0">
                  <c:v>52800</c:v>
                </c:pt>
                <c:pt idx="1">
                  <c:v>57836.999999999985</c:v>
                </c:pt>
                <c:pt idx="2">
                  <c:v>62206</c:v>
                </c:pt>
                <c:pt idx="3">
                  <c:v>61717.000000000015</c:v>
                </c:pt>
                <c:pt idx="4">
                  <c:v>66466</c:v>
                </c:pt>
                <c:pt idx="5">
                  <c:v>65328</c:v>
                </c:pt>
                <c:pt idx="6">
                  <c:v>69966</c:v>
                </c:pt>
                <c:pt idx="7">
                  <c:v>74882</c:v>
                </c:pt>
                <c:pt idx="8">
                  <c:v>77579</c:v>
                </c:pt>
              </c:numCache>
            </c:numRef>
          </c:val>
          <c:smooth val="0"/>
          <c:extLst>
            <c:ext xmlns:c16="http://schemas.microsoft.com/office/drawing/2014/chart" uri="{C3380CC4-5D6E-409C-BE32-E72D297353CC}">
              <c16:uniqueId val="{00000002-7166-4FCC-880F-A2CD35CB4068}"/>
            </c:ext>
          </c:extLst>
        </c:ser>
        <c:dLbls>
          <c:showLegendKey val="0"/>
          <c:showVal val="0"/>
          <c:showCatName val="0"/>
          <c:showSerName val="0"/>
          <c:showPercent val="0"/>
          <c:showBubbleSize val="0"/>
        </c:dLbls>
        <c:smooth val="0"/>
        <c:axId val="869845328"/>
        <c:axId val="869849072"/>
      </c:lineChart>
      <c:catAx>
        <c:axId val="869845328"/>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69849072"/>
        <c:crosses val="autoZero"/>
        <c:auto val="1"/>
        <c:lblAlgn val="ctr"/>
        <c:lblOffset val="100"/>
        <c:noMultiLvlLbl val="0"/>
      </c:catAx>
      <c:valAx>
        <c:axId val="869849072"/>
        <c:scaling>
          <c:orientation val="minMax"/>
          <c:max val="220000"/>
          <c:min val="20000"/>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69845328"/>
        <c:crosses val="autoZero"/>
        <c:crossBetween val="between"/>
        <c:majorUnit val="20000"/>
      </c:valAx>
      <c:spPr>
        <a:noFill/>
        <a:ln>
          <a:solidFill>
            <a:sysClr val="windowText" lastClr="000000"/>
          </a:solidFill>
        </a:ln>
        <a:effectLst/>
      </c:spPr>
    </c:plotArea>
    <c:legend>
      <c:legendPos val="b"/>
      <c:layout>
        <c:manualLayout>
          <c:xMode val="edge"/>
          <c:yMode val="edge"/>
          <c:x val="0"/>
          <c:y val="0.87056010044787324"/>
          <c:w val="1"/>
          <c:h val="0.129439899552126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53958880139983"/>
          <c:y val="5.0925925925925923E-2"/>
          <c:w val="0.79400437445319338"/>
          <c:h val="0.53901100904053656"/>
        </c:manualLayout>
      </c:layout>
      <c:barChart>
        <c:barDir val="col"/>
        <c:grouping val="stacked"/>
        <c:varyColors val="0"/>
        <c:ser>
          <c:idx val="0"/>
          <c:order val="0"/>
          <c:tx>
            <c:strRef>
              <c:f>'Graphique 48'!$B$8</c:f>
              <c:strCache>
                <c:ptCount val="1"/>
                <c:pt idx="0">
                  <c:v>départs volontaires</c:v>
                </c:pt>
              </c:strCache>
            </c:strRef>
          </c:tx>
          <c:spPr>
            <a:solidFill>
              <a:schemeClr val="accent1"/>
            </a:solidFill>
            <a:ln>
              <a:solidFill>
                <a:sysClr val="windowText" lastClr="000000"/>
              </a:solidFill>
            </a:ln>
            <a:effectLst/>
          </c:spPr>
          <c:invertIfNegative val="0"/>
          <c:cat>
            <c:strRef>
              <c:f>'Graphique 48'!$C$5:$P$5</c:f>
              <c:strCache>
                <c:ptCount val="14"/>
                <c:pt idx="0">
                  <c:v>2008-2009</c:v>
                </c:pt>
                <c:pt idx="1">
                  <c:v>2009-2010</c:v>
                </c:pt>
                <c:pt idx="2">
                  <c:v>2010-2011</c:v>
                </c:pt>
                <c:pt idx="3">
                  <c:v>2011-2012</c:v>
                </c:pt>
                <c:pt idx="4">
                  <c:v>2012-2013</c:v>
                </c:pt>
                <c:pt idx="5">
                  <c:v>2013-2014</c:v>
                </c:pt>
                <c:pt idx="6">
                  <c:v>2014-2015</c:v>
                </c:pt>
                <c:pt idx="7">
                  <c:v>2015-2016</c:v>
                </c:pt>
                <c:pt idx="8">
                  <c:v>2016-2017</c:v>
                </c:pt>
                <c:pt idx="9">
                  <c:v>2017-2018</c:v>
                </c:pt>
                <c:pt idx="10">
                  <c:v>2018-2019</c:v>
                </c:pt>
                <c:pt idx="11">
                  <c:v>2019-2020</c:v>
                </c:pt>
                <c:pt idx="12">
                  <c:v>2020-2021</c:v>
                </c:pt>
                <c:pt idx="13">
                  <c:v>2021-2022</c:v>
                </c:pt>
              </c:strCache>
            </c:strRef>
          </c:cat>
          <c:val>
            <c:numRef>
              <c:f>'Graphique 48'!$C$8:$P$8</c:f>
              <c:numCache>
                <c:formatCode>_-* #\ ##0_-;\-* #\ ##0_-;_-* "-"??_-;_-@_-</c:formatCode>
                <c:ptCount val="14"/>
                <c:pt idx="0">
                  <c:v>364</c:v>
                </c:pt>
                <c:pt idx="1">
                  <c:v>436</c:v>
                </c:pt>
                <c:pt idx="2">
                  <c:v>560</c:v>
                </c:pt>
                <c:pt idx="3">
                  <c:v>504</c:v>
                </c:pt>
                <c:pt idx="4">
                  <c:v>399</c:v>
                </c:pt>
                <c:pt idx="5">
                  <c:v>523</c:v>
                </c:pt>
                <c:pt idx="6">
                  <c:v>804</c:v>
                </c:pt>
                <c:pt idx="7">
                  <c:v>1002</c:v>
                </c:pt>
                <c:pt idx="8">
                  <c:v>1232</c:v>
                </c:pt>
                <c:pt idx="9">
                  <c:v>1417</c:v>
                </c:pt>
                <c:pt idx="10">
                  <c:v>1664</c:v>
                </c:pt>
                <c:pt idx="11">
                  <c:v>1598</c:v>
                </c:pt>
                <c:pt idx="12">
                  <c:v>2430</c:v>
                </c:pt>
                <c:pt idx="13">
                  <c:v>2836</c:v>
                </c:pt>
              </c:numCache>
            </c:numRef>
          </c:val>
          <c:extLst>
            <c:ext xmlns:c16="http://schemas.microsoft.com/office/drawing/2014/chart" uri="{C3380CC4-5D6E-409C-BE32-E72D297353CC}">
              <c16:uniqueId val="{00000000-6EE2-42A2-9100-92B5A0D092BB}"/>
            </c:ext>
          </c:extLst>
        </c:ser>
        <c:ser>
          <c:idx val="1"/>
          <c:order val="1"/>
          <c:tx>
            <c:strRef>
              <c:f>'Graphique 48'!$B$9</c:f>
              <c:strCache>
                <c:ptCount val="1"/>
                <c:pt idx="0">
                  <c:v>départs à la retraite</c:v>
                </c:pt>
              </c:strCache>
            </c:strRef>
          </c:tx>
          <c:spPr>
            <a:solidFill>
              <a:schemeClr val="accent3"/>
            </a:solidFill>
            <a:ln>
              <a:solidFill>
                <a:sysClr val="windowText" lastClr="000000"/>
              </a:solidFill>
            </a:ln>
            <a:effectLst/>
          </c:spPr>
          <c:invertIfNegative val="0"/>
          <c:cat>
            <c:strRef>
              <c:f>'Graphique 48'!$C$5:$P$5</c:f>
              <c:strCache>
                <c:ptCount val="14"/>
                <c:pt idx="0">
                  <c:v>2008-2009</c:v>
                </c:pt>
                <c:pt idx="1">
                  <c:v>2009-2010</c:v>
                </c:pt>
                <c:pt idx="2">
                  <c:v>2010-2011</c:v>
                </c:pt>
                <c:pt idx="3">
                  <c:v>2011-2012</c:v>
                </c:pt>
                <c:pt idx="4">
                  <c:v>2012-2013</c:v>
                </c:pt>
                <c:pt idx="5">
                  <c:v>2013-2014</c:v>
                </c:pt>
                <c:pt idx="6">
                  <c:v>2014-2015</c:v>
                </c:pt>
                <c:pt idx="7">
                  <c:v>2015-2016</c:v>
                </c:pt>
                <c:pt idx="8">
                  <c:v>2016-2017</c:v>
                </c:pt>
                <c:pt idx="9">
                  <c:v>2017-2018</c:v>
                </c:pt>
                <c:pt idx="10">
                  <c:v>2018-2019</c:v>
                </c:pt>
                <c:pt idx="11">
                  <c:v>2019-2020</c:v>
                </c:pt>
                <c:pt idx="12">
                  <c:v>2020-2021</c:v>
                </c:pt>
                <c:pt idx="13">
                  <c:v>2021-2022</c:v>
                </c:pt>
              </c:strCache>
            </c:strRef>
          </c:cat>
          <c:val>
            <c:numRef>
              <c:f>'Graphique 48'!$C$9:$P$9</c:f>
              <c:numCache>
                <c:formatCode>_-* #\ ##0_-;\-* #\ ##0_-;_-* "-"??_-;_-@_-</c:formatCode>
                <c:ptCount val="14"/>
                <c:pt idx="0">
                  <c:v>26481</c:v>
                </c:pt>
                <c:pt idx="1">
                  <c:v>21928</c:v>
                </c:pt>
                <c:pt idx="2">
                  <c:v>22769</c:v>
                </c:pt>
                <c:pt idx="3">
                  <c:v>24158</c:v>
                </c:pt>
                <c:pt idx="4">
                  <c:v>15813</c:v>
                </c:pt>
                <c:pt idx="5">
                  <c:v>17399</c:v>
                </c:pt>
                <c:pt idx="6">
                  <c:v>15589</c:v>
                </c:pt>
                <c:pt idx="7">
                  <c:v>15418</c:v>
                </c:pt>
                <c:pt idx="8">
                  <c:v>16301</c:v>
                </c:pt>
                <c:pt idx="9">
                  <c:v>14925</c:v>
                </c:pt>
                <c:pt idx="10">
                  <c:v>13970</c:v>
                </c:pt>
                <c:pt idx="11">
                  <c:v>15044</c:v>
                </c:pt>
                <c:pt idx="12">
                  <c:v>16148</c:v>
                </c:pt>
                <c:pt idx="13">
                  <c:v>16230</c:v>
                </c:pt>
              </c:numCache>
            </c:numRef>
          </c:val>
          <c:extLst>
            <c:ext xmlns:c16="http://schemas.microsoft.com/office/drawing/2014/chart" uri="{C3380CC4-5D6E-409C-BE32-E72D297353CC}">
              <c16:uniqueId val="{00000001-6EE2-42A2-9100-92B5A0D092BB}"/>
            </c:ext>
          </c:extLst>
        </c:ser>
        <c:dLbls>
          <c:showLegendKey val="0"/>
          <c:showVal val="0"/>
          <c:showCatName val="0"/>
          <c:showSerName val="0"/>
          <c:showPercent val="0"/>
          <c:showBubbleSize val="0"/>
        </c:dLbls>
        <c:gapWidth val="219"/>
        <c:overlap val="100"/>
        <c:axId val="493004543"/>
        <c:axId val="492999967"/>
      </c:barChart>
      <c:lineChart>
        <c:grouping val="standard"/>
        <c:varyColors val="0"/>
        <c:ser>
          <c:idx val="2"/>
          <c:order val="2"/>
          <c:tx>
            <c:strRef>
              <c:f>'Graphique 48'!$B$10</c:f>
              <c:strCache>
                <c:ptCount val="1"/>
                <c:pt idx="0">
                  <c:v>% de départs volontaires / départs totaux</c:v>
                </c:pt>
              </c:strCache>
            </c:strRef>
          </c:tx>
          <c:spPr>
            <a:ln w="28575" cap="rnd">
              <a:solidFill>
                <a:schemeClr val="accent5"/>
              </a:solidFill>
              <a:round/>
            </a:ln>
            <a:effectLst/>
          </c:spPr>
          <c:marker>
            <c:symbol val="none"/>
          </c:marker>
          <c:val>
            <c:numRef>
              <c:f>'Graphique 48'!$C$10:$P$10</c:f>
              <c:numCache>
                <c:formatCode>0%</c:formatCode>
                <c:ptCount val="14"/>
                <c:pt idx="0">
                  <c:v>1.3559322033898305E-2</c:v>
                </c:pt>
                <c:pt idx="1">
                  <c:v>1.9495617957431585E-2</c:v>
                </c:pt>
                <c:pt idx="2">
                  <c:v>2.4004457970765999E-2</c:v>
                </c:pt>
                <c:pt idx="3">
                  <c:v>2.043629875922472E-2</c:v>
                </c:pt>
                <c:pt idx="4">
                  <c:v>2.4611398963730571E-2</c:v>
                </c:pt>
                <c:pt idx="5">
                  <c:v>2.9182010936279434E-2</c:v>
                </c:pt>
                <c:pt idx="6">
                  <c:v>4.9045324223754044E-2</c:v>
                </c:pt>
                <c:pt idx="7">
                  <c:v>6.1023142509135202E-2</c:v>
                </c:pt>
                <c:pt idx="8">
                  <c:v>7.0267495579763875E-2</c:v>
                </c:pt>
                <c:pt idx="9">
                  <c:v>8.6709093134255288E-2</c:v>
                </c:pt>
                <c:pt idx="10">
                  <c:v>0.10643469361647691</c:v>
                </c:pt>
                <c:pt idx="11">
                  <c:v>9.6022112726835723E-2</c:v>
                </c:pt>
                <c:pt idx="12">
                  <c:v>0.1307998708149424</c:v>
                </c:pt>
                <c:pt idx="13">
                  <c:v>0.14874645966642192</c:v>
                </c:pt>
              </c:numCache>
            </c:numRef>
          </c:val>
          <c:smooth val="0"/>
          <c:extLst>
            <c:ext xmlns:c16="http://schemas.microsoft.com/office/drawing/2014/chart" uri="{C3380CC4-5D6E-409C-BE32-E72D297353CC}">
              <c16:uniqueId val="{00000002-6EE2-42A2-9100-92B5A0D092BB}"/>
            </c:ext>
          </c:extLst>
        </c:ser>
        <c:dLbls>
          <c:showLegendKey val="0"/>
          <c:showVal val="0"/>
          <c:showCatName val="0"/>
          <c:showSerName val="0"/>
          <c:showPercent val="0"/>
          <c:showBubbleSize val="0"/>
        </c:dLbls>
        <c:marker val="1"/>
        <c:smooth val="0"/>
        <c:axId val="493001631"/>
        <c:axId val="492996639"/>
      </c:lineChart>
      <c:catAx>
        <c:axId val="493004543"/>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2999967"/>
        <c:crosses val="autoZero"/>
        <c:auto val="1"/>
        <c:lblAlgn val="ctr"/>
        <c:lblOffset val="100"/>
        <c:noMultiLvlLbl val="0"/>
      </c:catAx>
      <c:valAx>
        <c:axId val="492999967"/>
        <c:scaling>
          <c:orientation val="minMax"/>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3004543"/>
        <c:crosses val="autoZero"/>
        <c:crossBetween val="between"/>
      </c:valAx>
      <c:valAx>
        <c:axId val="492996639"/>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3001631"/>
        <c:crosses val="max"/>
        <c:crossBetween val="between"/>
      </c:valAx>
      <c:catAx>
        <c:axId val="493001631"/>
        <c:scaling>
          <c:orientation val="minMax"/>
        </c:scaling>
        <c:delete val="1"/>
        <c:axPos val="b"/>
        <c:majorTickMark val="none"/>
        <c:minorTickMark val="none"/>
        <c:tickLblPos val="nextTo"/>
        <c:crossAx val="492996639"/>
        <c:crosses val="autoZero"/>
        <c:auto val="1"/>
        <c:lblAlgn val="ctr"/>
        <c:lblOffset val="100"/>
        <c:noMultiLvlLbl val="0"/>
      </c:catAx>
      <c:spPr>
        <a:noFill/>
        <a:ln>
          <a:solidFill>
            <a:sysClr val="windowText" lastClr="000000"/>
          </a:solidFill>
        </a:ln>
        <a:effectLst/>
      </c:spPr>
    </c:plotArea>
    <c:legend>
      <c:legendPos val="b"/>
      <c:layout>
        <c:manualLayout>
          <c:xMode val="edge"/>
          <c:yMode val="edge"/>
          <c:x val="0"/>
          <c:y val="0.86516039661708954"/>
          <c:w val="1"/>
          <c:h val="0.107061825605132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a:t>Catégorie A -</a:t>
            </a:r>
            <a:r>
              <a:rPr lang="fr-FR" baseline="0"/>
              <a:t> Enseignants</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lineChart>
        <c:grouping val="standard"/>
        <c:varyColors val="0"/>
        <c:ser>
          <c:idx val="0"/>
          <c:order val="0"/>
          <c:tx>
            <c:strRef>
              <c:f>'Graphique 31'!$B$40</c:f>
              <c:strCache>
                <c:ptCount val="1"/>
                <c:pt idx="0">
                  <c:v>Poste offerts</c:v>
                </c:pt>
              </c:strCache>
            </c:strRef>
          </c:tx>
          <c:spPr>
            <a:ln w="28575" cap="rnd">
              <a:solidFill>
                <a:schemeClr val="accent1">
                  <a:lumMod val="50000"/>
                </a:schemeClr>
              </a:solidFill>
              <a:round/>
            </a:ln>
            <a:effectLst/>
          </c:spPr>
          <c:marker>
            <c:symbol val="none"/>
          </c:marker>
          <c:dPt>
            <c:idx val="0"/>
            <c:marker>
              <c:symbol val="circle"/>
              <c:size val="7"/>
              <c:spPr>
                <a:solidFill>
                  <a:schemeClr val="tx1"/>
                </a:solidFill>
                <a:ln w="9525">
                  <a:solidFill>
                    <a:schemeClr val="tx1"/>
                  </a:solidFill>
                </a:ln>
                <a:effectLst/>
              </c:spPr>
            </c:marker>
            <c:bubble3D val="0"/>
            <c:extLst>
              <c:ext xmlns:c16="http://schemas.microsoft.com/office/drawing/2014/chart" uri="{C3380CC4-5D6E-409C-BE32-E72D297353CC}">
                <c16:uniqueId val="{00000000-B722-40DA-9144-A6E13FA8CE85}"/>
              </c:ext>
            </c:extLst>
          </c:dPt>
          <c:cat>
            <c:numRef>
              <c:f>'Graphique 31'!$C$5:$Y$5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31'!$C$40:$Y$40</c:f>
              <c:numCache>
                <c:formatCode>_-* #\ ##0_-;\-* #\ ##0_-;_-* "-"??_-;_-@_-</c:formatCode>
                <c:ptCount val="23"/>
                <c:pt idx="0">
                  <c:v>100</c:v>
                </c:pt>
                <c:pt idx="1">
                  <c:v>109.14712595974268</c:v>
                </c:pt>
                <c:pt idx="2">
                  <c:v>118.90848723801619</c:v>
                </c:pt>
                <c:pt idx="3">
                  <c:v>119.0246939199004</c:v>
                </c:pt>
                <c:pt idx="4">
                  <c:v>102.01286573978004</c:v>
                </c:pt>
                <c:pt idx="5">
                  <c:v>106.99315210624611</c:v>
                </c:pt>
                <c:pt idx="6">
                  <c:v>83.793318115791664</c:v>
                </c:pt>
                <c:pt idx="7">
                  <c:v>83.722764058933379</c:v>
                </c:pt>
                <c:pt idx="8">
                  <c:v>74.513384519609886</c:v>
                </c:pt>
                <c:pt idx="9">
                  <c:v>63.490350695164977</c:v>
                </c:pt>
                <c:pt idx="10">
                  <c:v>63.278688524590166</c:v>
                </c:pt>
                <c:pt idx="11">
                  <c:v>47.449678356505501</c:v>
                </c:pt>
                <c:pt idx="12">
                  <c:v>54.455281178667768</c:v>
                </c:pt>
                <c:pt idx="13">
                  <c:v>78.132392612575217</c:v>
                </c:pt>
                <c:pt idx="14">
                  <c:v>150.19713633533928</c:v>
                </c:pt>
                <c:pt idx="15">
                  <c:v>98.941689147125956</c:v>
                </c:pt>
                <c:pt idx="16">
                  <c:v>103.97177837725668</c:v>
                </c:pt>
                <c:pt idx="17">
                  <c:v>104.30794770699315</c:v>
                </c:pt>
                <c:pt idx="18">
                  <c:v>87.121809504046482</c:v>
                </c:pt>
                <c:pt idx="19">
                  <c:v>91.695372483917822</c:v>
                </c:pt>
                <c:pt idx="20">
                  <c:v>90.591409006017841</c:v>
                </c:pt>
                <c:pt idx="21">
                  <c:v>84.81842705955593</c:v>
                </c:pt>
                <c:pt idx="22">
                  <c:v>75.003112678979051</c:v>
                </c:pt>
              </c:numCache>
            </c:numRef>
          </c:val>
          <c:smooth val="0"/>
          <c:extLst>
            <c:ext xmlns:c16="http://schemas.microsoft.com/office/drawing/2014/chart" uri="{C3380CC4-5D6E-409C-BE32-E72D297353CC}">
              <c16:uniqueId val="{00000001-B722-40DA-9144-A6E13FA8CE85}"/>
            </c:ext>
          </c:extLst>
        </c:ser>
        <c:ser>
          <c:idx val="1"/>
          <c:order val="1"/>
          <c:tx>
            <c:strRef>
              <c:f>'Graphique 31'!$B$41</c:f>
              <c:strCache>
                <c:ptCount val="1"/>
                <c:pt idx="0">
                  <c:v>Candidats présents</c:v>
                </c:pt>
              </c:strCache>
            </c:strRef>
          </c:tx>
          <c:spPr>
            <a:ln w="28575" cap="rnd">
              <a:solidFill>
                <a:schemeClr val="accent1">
                  <a:lumMod val="60000"/>
                  <a:lumOff val="40000"/>
                </a:schemeClr>
              </a:solidFill>
              <a:round/>
            </a:ln>
            <a:effectLst/>
          </c:spPr>
          <c:marker>
            <c:symbol val="none"/>
          </c:marker>
          <c:dPt>
            <c:idx val="0"/>
            <c:marker>
              <c:symbol val="circle"/>
              <c:size val="5"/>
              <c:spPr>
                <a:solidFill>
                  <a:schemeClr val="tx1"/>
                </a:solidFill>
                <a:ln w="19050">
                  <a:solidFill>
                    <a:schemeClr val="tx1"/>
                  </a:solidFill>
                </a:ln>
                <a:effectLst/>
              </c:spPr>
            </c:marker>
            <c:bubble3D val="0"/>
            <c:extLst>
              <c:ext xmlns:c16="http://schemas.microsoft.com/office/drawing/2014/chart" uri="{C3380CC4-5D6E-409C-BE32-E72D297353CC}">
                <c16:uniqueId val="{00000002-B722-40DA-9144-A6E13FA8CE85}"/>
              </c:ext>
            </c:extLst>
          </c:dPt>
          <c:cat>
            <c:numRef>
              <c:f>'Graphique 31'!$C$5:$Y$5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31'!$C$41:$Y$41</c:f>
              <c:numCache>
                <c:formatCode>_-* #\ ##0_-;\-* #\ ##0_-;_-* "-"??_-;_-@_-</c:formatCode>
                <c:ptCount val="23"/>
                <c:pt idx="0">
                  <c:v>100</c:v>
                </c:pt>
                <c:pt idx="1">
                  <c:v>98.419904976883672</c:v>
                </c:pt>
                <c:pt idx="2">
                  <c:v>95.009048298088672</c:v>
                </c:pt>
                <c:pt idx="3">
                  <c:v>100.33571424003888</c:v>
                </c:pt>
                <c:pt idx="4">
                  <c:v>101.34029913737426</c:v>
                </c:pt>
                <c:pt idx="5">
                  <c:v>95.290408804026015</c:v>
                </c:pt>
                <c:pt idx="6">
                  <c:v>83.134995491837344</c:v>
                </c:pt>
                <c:pt idx="7">
                  <c:v>73.41782674587391</c:v>
                </c:pt>
                <c:pt idx="8">
                  <c:v>64.991719048745708</c:v>
                </c:pt>
                <c:pt idx="9">
                  <c:v>60.156155080795223</c:v>
                </c:pt>
                <c:pt idx="10">
                  <c:v>51.919326269479413</c:v>
                </c:pt>
                <c:pt idx="11">
                  <c:v>28.268417922664231</c:v>
                </c:pt>
                <c:pt idx="12">
                  <c:v>30.193819021249112</c:v>
                </c:pt>
                <c:pt idx="13">
                  <c:v>33.87516545916116</c:v>
                </c:pt>
                <c:pt idx="14">
                  <c:v>73.071241759014725</c:v>
                </c:pt>
                <c:pt idx="15">
                  <c:v>46.083014138365428</c:v>
                </c:pt>
                <c:pt idx="16">
                  <c:v>48.776401527020205</c:v>
                </c:pt>
                <c:pt idx="17">
                  <c:v>48.861449134496716</c:v>
                </c:pt>
                <c:pt idx="18">
                  <c:v>50.085687063171825</c:v>
                </c:pt>
                <c:pt idx="19">
                  <c:v>55.479815580977473</c:v>
                </c:pt>
                <c:pt idx="20">
                  <c:v>51.086115498487686</c:v>
                </c:pt>
                <c:pt idx="21">
                  <c:v>50.224640785763164</c:v>
                </c:pt>
                <c:pt idx="22">
                  <c:v>26.635887532532308</c:v>
                </c:pt>
              </c:numCache>
            </c:numRef>
          </c:val>
          <c:smooth val="0"/>
          <c:extLst>
            <c:ext xmlns:c16="http://schemas.microsoft.com/office/drawing/2014/chart" uri="{C3380CC4-5D6E-409C-BE32-E72D297353CC}">
              <c16:uniqueId val="{00000003-B722-40DA-9144-A6E13FA8CE85}"/>
            </c:ext>
          </c:extLst>
        </c:ser>
        <c:dLbls>
          <c:showLegendKey val="0"/>
          <c:showVal val="0"/>
          <c:showCatName val="0"/>
          <c:showSerName val="0"/>
          <c:showPercent val="0"/>
          <c:showBubbleSize val="0"/>
        </c:dLbls>
        <c:smooth val="0"/>
        <c:axId val="1300914224"/>
        <c:axId val="1300905904"/>
      </c:lineChart>
      <c:catAx>
        <c:axId val="1300914224"/>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00905904"/>
        <c:crosses val="autoZero"/>
        <c:auto val="1"/>
        <c:lblAlgn val="ctr"/>
        <c:lblOffset val="100"/>
        <c:noMultiLvlLbl val="0"/>
      </c:catAx>
      <c:valAx>
        <c:axId val="1300905904"/>
        <c:scaling>
          <c:orientation val="minMax"/>
          <c:max val="250"/>
          <c:min val="10"/>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00914224"/>
        <c:crosses val="autoZero"/>
        <c:crossBetween val="between"/>
        <c:majorUnit val="30"/>
      </c:valAx>
      <c:spPr>
        <a:noFill/>
        <a:ln>
          <a:solidFill>
            <a:sysClr val="windowText" lastClr="000000"/>
          </a:solidFill>
        </a:ln>
        <a:effectLst/>
      </c:spPr>
    </c:plotArea>
    <c:plotVisOnly val="1"/>
    <c:dispBlanksAs val="gap"/>
    <c:showDLblsOverMax val="0"/>
  </c:chart>
  <c:spPr>
    <a:solidFill>
      <a:schemeClr val="bg1"/>
    </a:solidFill>
    <a:ln w="9525" cap="flat" cmpd="sng" algn="ctr">
      <a:noFill/>
      <a:round/>
    </a:ln>
    <a:effectLst/>
  </c:spPr>
  <c:txPr>
    <a:bodyPr/>
    <a:lstStyle/>
    <a:p>
      <a:pPr>
        <a:defRPr baseline="0">
          <a:solidFill>
            <a:sysClr val="windowText" lastClr="000000"/>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a:t>Catégorie B</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lineChart>
        <c:grouping val="standard"/>
        <c:varyColors val="0"/>
        <c:ser>
          <c:idx val="0"/>
          <c:order val="0"/>
          <c:tx>
            <c:strRef>
              <c:f>'Graphique 31'!$B$43</c:f>
              <c:strCache>
                <c:ptCount val="1"/>
                <c:pt idx="0">
                  <c:v>Poste offerts</c:v>
                </c:pt>
              </c:strCache>
            </c:strRef>
          </c:tx>
          <c:spPr>
            <a:ln w="28575" cap="rnd">
              <a:solidFill>
                <a:schemeClr val="accent1">
                  <a:lumMod val="50000"/>
                </a:schemeClr>
              </a:solidFill>
              <a:round/>
            </a:ln>
            <a:effectLst/>
          </c:spPr>
          <c:marker>
            <c:symbol val="none"/>
          </c:marker>
          <c:cat>
            <c:numRef>
              <c:f>'Graphique 31'!$C$5:$Y$5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31'!$C$43:$Y$43</c:f>
              <c:numCache>
                <c:formatCode>_-* #\ ##0_-;\-* #\ ##0_-;_-* "-"??_-;_-@_-</c:formatCode>
                <c:ptCount val="23"/>
                <c:pt idx="0">
                  <c:v>100</c:v>
                </c:pt>
                <c:pt idx="1">
                  <c:v>118.3443546411952</c:v>
                </c:pt>
                <c:pt idx="2">
                  <c:v>137.12956159686505</c:v>
                </c:pt>
                <c:pt idx="3">
                  <c:v>102.84104824883664</c:v>
                </c:pt>
                <c:pt idx="4">
                  <c:v>88.88072495713935</c:v>
                </c:pt>
                <c:pt idx="5">
                  <c:v>79.255449424442816</c:v>
                </c:pt>
                <c:pt idx="6">
                  <c:v>145.84864070536369</c:v>
                </c:pt>
                <c:pt idx="7">
                  <c:v>123.78153318638256</c:v>
                </c:pt>
                <c:pt idx="8">
                  <c:v>129.80651481753614</c:v>
                </c:pt>
                <c:pt idx="9">
                  <c:v>78.055351457261807</c:v>
                </c:pt>
                <c:pt idx="10">
                  <c:v>73.818270879255451</c:v>
                </c:pt>
                <c:pt idx="11">
                  <c:v>70.756796473181481</c:v>
                </c:pt>
                <c:pt idx="12">
                  <c:v>81.21479304433015</c:v>
                </c:pt>
                <c:pt idx="13">
                  <c:v>71.271124173401915</c:v>
                </c:pt>
                <c:pt idx="14">
                  <c:v>96.301738917462657</c:v>
                </c:pt>
                <c:pt idx="15">
                  <c:v>107.56796473181484</c:v>
                </c:pt>
                <c:pt idx="16">
                  <c:v>173.49987754102375</c:v>
                </c:pt>
                <c:pt idx="17">
                  <c:v>131.25153073720304</c:v>
                </c:pt>
                <c:pt idx="18">
                  <c:v>163.6296840558413</c:v>
                </c:pt>
                <c:pt idx="19">
                  <c:v>142.6402155277982</c:v>
                </c:pt>
                <c:pt idx="20">
                  <c:v>142.71369091354396</c:v>
                </c:pt>
                <c:pt idx="21">
                  <c:v>152.3634582414891</c:v>
                </c:pt>
                <c:pt idx="22">
                  <c:v>137.15405339211364</c:v>
                </c:pt>
              </c:numCache>
            </c:numRef>
          </c:val>
          <c:smooth val="0"/>
          <c:extLst>
            <c:ext xmlns:c16="http://schemas.microsoft.com/office/drawing/2014/chart" uri="{C3380CC4-5D6E-409C-BE32-E72D297353CC}">
              <c16:uniqueId val="{00000000-B819-46E3-B777-B7C35DEB10B3}"/>
            </c:ext>
          </c:extLst>
        </c:ser>
        <c:ser>
          <c:idx val="1"/>
          <c:order val="1"/>
          <c:tx>
            <c:strRef>
              <c:f>'Graphique 31'!$B$44</c:f>
              <c:strCache>
                <c:ptCount val="1"/>
                <c:pt idx="0">
                  <c:v>Candidats présents</c:v>
                </c:pt>
              </c:strCache>
            </c:strRef>
          </c:tx>
          <c:spPr>
            <a:ln w="28575" cap="rnd">
              <a:solidFill>
                <a:schemeClr val="accent1">
                  <a:lumMod val="60000"/>
                  <a:lumOff val="40000"/>
                </a:schemeClr>
              </a:solidFill>
              <a:round/>
            </a:ln>
            <a:effectLst/>
          </c:spPr>
          <c:marker>
            <c:symbol val="none"/>
          </c:marker>
          <c:dPt>
            <c:idx val="0"/>
            <c:marker>
              <c:symbol val="circle"/>
              <c:size val="7"/>
              <c:spPr>
                <a:solidFill>
                  <a:schemeClr val="tx1"/>
                </a:solidFill>
                <a:ln w="19050">
                  <a:solidFill>
                    <a:schemeClr val="tx1"/>
                  </a:solidFill>
                </a:ln>
                <a:effectLst/>
              </c:spPr>
            </c:marker>
            <c:bubble3D val="0"/>
            <c:extLst>
              <c:ext xmlns:c16="http://schemas.microsoft.com/office/drawing/2014/chart" uri="{C3380CC4-5D6E-409C-BE32-E72D297353CC}">
                <c16:uniqueId val="{00000001-B819-46E3-B777-B7C35DEB10B3}"/>
              </c:ext>
            </c:extLst>
          </c:dPt>
          <c:cat>
            <c:numRef>
              <c:f>'Graphique 31'!$C$5:$Y$5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31'!$C$44:$Y$44</c:f>
              <c:numCache>
                <c:formatCode>_-* #\ ##0_-;\-* #\ ##0_-;_-* "-"??_-;_-@_-</c:formatCode>
                <c:ptCount val="23"/>
                <c:pt idx="0">
                  <c:v>100</c:v>
                </c:pt>
                <c:pt idx="1">
                  <c:v>87.548497854077254</c:v>
                </c:pt>
                <c:pt idx="2">
                  <c:v>96.121030042918449</c:v>
                </c:pt>
                <c:pt idx="3">
                  <c:v>87.175107296137341</c:v>
                </c:pt>
                <c:pt idx="4">
                  <c:v>89.838626609442059</c:v>
                </c:pt>
                <c:pt idx="5">
                  <c:v>81.875536480686691</c:v>
                </c:pt>
                <c:pt idx="6">
                  <c:v>86.533905579399146</c:v>
                </c:pt>
                <c:pt idx="7">
                  <c:v>80.564806866952793</c:v>
                </c:pt>
                <c:pt idx="8">
                  <c:v>61.212017167381973</c:v>
                </c:pt>
                <c:pt idx="9">
                  <c:v>57.912446351931337</c:v>
                </c:pt>
                <c:pt idx="10">
                  <c:v>63.206866952789696</c:v>
                </c:pt>
                <c:pt idx="11">
                  <c:v>52.511587982832623</c:v>
                </c:pt>
                <c:pt idx="12">
                  <c:v>48.057510729613732</c:v>
                </c:pt>
                <c:pt idx="13">
                  <c:v>50.945064377682399</c:v>
                </c:pt>
                <c:pt idx="14">
                  <c:v>53.45751072961373</c:v>
                </c:pt>
                <c:pt idx="15">
                  <c:v>51.660944206008587</c:v>
                </c:pt>
                <c:pt idx="16">
                  <c:v>72.87381974248926</c:v>
                </c:pt>
                <c:pt idx="17">
                  <c:v>50.772532188841204</c:v>
                </c:pt>
                <c:pt idx="18">
                  <c:v>56.01710729613734</c:v>
                </c:pt>
                <c:pt idx="19">
                  <c:v>31.696137339055795</c:v>
                </c:pt>
                <c:pt idx="20">
                  <c:v>33.398283261802575</c:v>
                </c:pt>
                <c:pt idx="21">
                  <c:v>33.255278969957082</c:v>
                </c:pt>
                <c:pt idx="22">
                  <c:v>30.830042918454936</c:v>
                </c:pt>
              </c:numCache>
            </c:numRef>
          </c:val>
          <c:smooth val="0"/>
          <c:extLst>
            <c:ext xmlns:c16="http://schemas.microsoft.com/office/drawing/2014/chart" uri="{C3380CC4-5D6E-409C-BE32-E72D297353CC}">
              <c16:uniqueId val="{00000002-B819-46E3-B777-B7C35DEB10B3}"/>
            </c:ext>
          </c:extLst>
        </c:ser>
        <c:dLbls>
          <c:showLegendKey val="0"/>
          <c:showVal val="0"/>
          <c:showCatName val="0"/>
          <c:showSerName val="0"/>
          <c:showPercent val="0"/>
          <c:showBubbleSize val="0"/>
        </c:dLbls>
        <c:smooth val="0"/>
        <c:axId val="1300914224"/>
        <c:axId val="1300905904"/>
      </c:lineChart>
      <c:catAx>
        <c:axId val="1300914224"/>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00905904"/>
        <c:crosses val="autoZero"/>
        <c:auto val="1"/>
        <c:lblAlgn val="ctr"/>
        <c:lblOffset val="100"/>
        <c:noMultiLvlLbl val="0"/>
      </c:catAx>
      <c:valAx>
        <c:axId val="1300905904"/>
        <c:scaling>
          <c:orientation val="minMax"/>
          <c:max val="250"/>
          <c:min val="10"/>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00914224"/>
        <c:crosses val="autoZero"/>
        <c:crossBetween val="between"/>
        <c:majorUnit val="30"/>
      </c:valAx>
      <c:spPr>
        <a:noFill/>
        <a:ln>
          <a:solidFill>
            <a:sysClr val="windowText" lastClr="000000"/>
          </a:solidFill>
        </a:ln>
        <a:effectLst/>
      </c:spPr>
    </c:plotArea>
    <c:plotVisOnly val="1"/>
    <c:dispBlanksAs val="gap"/>
    <c:showDLblsOverMax val="0"/>
  </c:chart>
  <c:spPr>
    <a:solidFill>
      <a:schemeClr val="bg1"/>
    </a:solidFill>
    <a:ln w="9525" cap="flat" cmpd="sng" algn="ctr">
      <a:noFill/>
      <a:round/>
    </a:ln>
    <a:effectLst/>
  </c:spPr>
  <c:txPr>
    <a:bodyPr/>
    <a:lstStyle/>
    <a:p>
      <a:pPr>
        <a:defRPr baseline="0">
          <a:solidFill>
            <a:sysClr val="windowText" lastClr="000000"/>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a:t>Catégorie C</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lineChart>
        <c:grouping val="standard"/>
        <c:varyColors val="0"/>
        <c:ser>
          <c:idx val="0"/>
          <c:order val="0"/>
          <c:tx>
            <c:strRef>
              <c:f>'Graphique 31'!$B$46</c:f>
              <c:strCache>
                <c:ptCount val="1"/>
                <c:pt idx="0">
                  <c:v>Poste offerts</c:v>
                </c:pt>
              </c:strCache>
            </c:strRef>
          </c:tx>
          <c:spPr>
            <a:ln w="28575" cap="rnd">
              <a:solidFill>
                <a:schemeClr val="accent1">
                  <a:lumMod val="50000"/>
                </a:schemeClr>
              </a:solidFill>
              <a:round/>
            </a:ln>
            <a:effectLst/>
          </c:spPr>
          <c:marker>
            <c:symbol val="none"/>
          </c:marker>
          <c:cat>
            <c:numRef>
              <c:f>'Graphique 31'!$C$5:$Y$5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31'!$C$46:$Y$46</c:f>
              <c:numCache>
                <c:formatCode>_-* #\ ##0_-;\-* #\ ##0_-;_-* "-"??_-;_-@_-</c:formatCode>
                <c:ptCount val="23"/>
                <c:pt idx="0">
                  <c:v>100</c:v>
                </c:pt>
                <c:pt idx="1">
                  <c:v>98.211334694274328</c:v>
                </c:pt>
                <c:pt idx="2">
                  <c:v>128.78390201224846</c:v>
                </c:pt>
                <c:pt idx="3">
                  <c:v>99.348692524545541</c:v>
                </c:pt>
                <c:pt idx="4">
                  <c:v>90.687275201710889</c:v>
                </c:pt>
                <c:pt idx="5">
                  <c:v>85.175464178088859</c:v>
                </c:pt>
                <c:pt idx="6">
                  <c:v>31.029454651501897</c:v>
                </c:pt>
                <c:pt idx="7">
                  <c:v>31.690483134052688</c:v>
                </c:pt>
                <c:pt idx="8">
                  <c:v>44.298629337999415</c:v>
                </c:pt>
                <c:pt idx="9">
                  <c:v>43.093224458053854</c:v>
                </c:pt>
                <c:pt idx="10">
                  <c:v>32.225138524351124</c:v>
                </c:pt>
                <c:pt idx="11">
                  <c:v>21.813939924176147</c:v>
                </c:pt>
                <c:pt idx="12">
                  <c:v>19.772528433945759</c:v>
                </c:pt>
                <c:pt idx="13">
                  <c:v>18.819869738504909</c:v>
                </c:pt>
                <c:pt idx="14">
                  <c:v>31.44745795664431</c:v>
                </c:pt>
                <c:pt idx="15">
                  <c:v>32.322348595314473</c:v>
                </c:pt>
                <c:pt idx="16">
                  <c:v>40.215806357538639</c:v>
                </c:pt>
                <c:pt idx="17">
                  <c:v>34.859531447457961</c:v>
                </c:pt>
                <c:pt idx="18">
                  <c:v>45.756780402449692</c:v>
                </c:pt>
                <c:pt idx="19">
                  <c:v>42.655779138718771</c:v>
                </c:pt>
                <c:pt idx="20">
                  <c:v>40.147759307864291</c:v>
                </c:pt>
                <c:pt idx="21">
                  <c:v>40.857392825896767</c:v>
                </c:pt>
                <c:pt idx="22">
                  <c:v>40.575483620103043</c:v>
                </c:pt>
              </c:numCache>
            </c:numRef>
          </c:val>
          <c:smooth val="0"/>
          <c:extLst>
            <c:ext xmlns:c16="http://schemas.microsoft.com/office/drawing/2014/chart" uri="{C3380CC4-5D6E-409C-BE32-E72D297353CC}">
              <c16:uniqueId val="{00000000-C2E7-452A-A5E2-E85BB492987D}"/>
            </c:ext>
          </c:extLst>
        </c:ser>
        <c:ser>
          <c:idx val="1"/>
          <c:order val="1"/>
          <c:tx>
            <c:strRef>
              <c:f>'Graphique 31'!$B$47</c:f>
              <c:strCache>
                <c:ptCount val="1"/>
                <c:pt idx="0">
                  <c:v>Candidats présents</c:v>
                </c:pt>
              </c:strCache>
            </c:strRef>
          </c:tx>
          <c:spPr>
            <a:ln w="28575" cap="rnd">
              <a:solidFill>
                <a:schemeClr val="accent1">
                  <a:lumMod val="60000"/>
                  <a:lumOff val="40000"/>
                </a:schemeClr>
              </a:solidFill>
              <a:round/>
            </a:ln>
            <a:effectLst/>
          </c:spPr>
          <c:marker>
            <c:symbol val="none"/>
          </c:marker>
          <c:dPt>
            <c:idx val="0"/>
            <c:marker>
              <c:symbol val="circle"/>
              <c:size val="7"/>
              <c:spPr>
                <a:solidFill>
                  <a:schemeClr val="tx1"/>
                </a:solidFill>
                <a:ln w="19050">
                  <a:solidFill>
                    <a:schemeClr val="tx1"/>
                  </a:solidFill>
                </a:ln>
                <a:effectLst/>
              </c:spPr>
            </c:marker>
            <c:bubble3D val="0"/>
            <c:extLst>
              <c:ext xmlns:c16="http://schemas.microsoft.com/office/drawing/2014/chart" uri="{C3380CC4-5D6E-409C-BE32-E72D297353CC}">
                <c16:uniqueId val="{00000001-C2E7-452A-A5E2-E85BB492987D}"/>
              </c:ext>
            </c:extLst>
          </c:dPt>
          <c:cat>
            <c:numRef>
              <c:f>'Graphique 31'!$C$5:$Y$5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31'!$C$47:$Y$47</c:f>
              <c:numCache>
                <c:formatCode>_-* #\ ##0_-;\-* #\ ##0_-;_-* "-"??_-;_-@_-</c:formatCode>
                <c:ptCount val="23"/>
                <c:pt idx="0">
                  <c:v>100</c:v>
                </c:pt>
                <c:pt idx="1">
                  <c:v>82.288975566925018</c:v>
                </c:pt>
                <c:pt idx="2">
                  <c:v>122.24248462027703</c:v>
                </c:pt>
                <c:pt idx="3">
                  <c:v>122.74397897213359</c:v>
                </c:pt>
                <c:pt idx="4">
                  <c:v>111.31092086970715</c:v>
                </c:pt>
                <c:pt idx="5">
                  <c:v>107.95355408090326</c:v>
                </c:pt>
                <c:pt idx="6">
                  <c:v>54.564386584041117</c:v>
                </c:pt>
                <c:pt idx="7">
                  <c:v>58.398482571523445</c:v>
                </c:pt>
                <c:pt idx="8">
                  <c:v>55.959114983480518</c:v>
                </c:pt>
                <c:pt idx="9">
                  <c:v>53.219188490957904</c:v>
                </c:pt>
                <c:pt idx="10">
                  <c:v>29.203744040885017</c:v>
                </c:pt>
                <c:pt idx="11">
                  <c:v>26.096843005814179</c:v>
                </c:pt>
                <c:pt idx="12">
                  <c:v>22.456365488633356</c:v>
                </c:pt>
                <c:pt idx="13">
                  <c:v>22.931968998530976</c:v>
                </c:pt>
                <c:pt idx="14">
                  <c:v>25.033629952327079</c:v>
                </c:pt>
                <c:pt idx="15">
                  <c:v>27.841097771699058</c:v>
                </c:pt>
                <c:pt idx="16">
                  <c:v>29.41424784289887</c:v>
                </c:pt>
                <c:pt idx="17">
                  <c:v>23.892181528572795</c:v>
                </c:pt>
                <c:pt idx="18">
                  <c:v>22.095627261930893</c:v>
                </c:pt>
                <c:pt idx="19">
                  <c:v>17.780817137486</c:v>
                </c:pt>
                <c:pt idx="20">
                  <c:v>15.287416487963574</c:v>
                </c:pt>
                <c:pt idx="21">
                  <c:v>18.783242996808671</c:v>
                </c:pt>
                <c:pt idx="22">
                  <c:v>14.120640066640778</c:v>
                </c:pt>
              </c:numCache>
            </c:numRef>
          </c:val>
          <c:smooth val="0"/>
          <c:extLst>
            <c:ext xmlns:c16="http://schemas.microsoft.com/office/drawing/2014/chart" uri="{C3380CC4-5D6E-409C-BE32-E72D297353CC}">
              <c16:uniqueId val="{00000002-C2E7-452A-A5E2-E85BB492987D}"/>
            </c:ext>
          </c:extLst>
        </c:ser>
        <c:dLbls>
          <c:showLegendKey val="0"/>
          <c:showVal val="0"/>
          <c:showCatName val="0"/>
          <c:showSerName val="0"/>
          <c:showPercent val="0"/>
          <c:showBubbleSize val="0"/>
        </c:dLbls>
        <c:smooth val="0"/>
        <c:axId val="1300914224"/>
        <c:axId val="1300905904"/>
      </c:lineChart>
      <c:catAx>
        <c:axId val="1300914224"/>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00905904"/>
        <c:crosses val="autoZero"/>
        <c:auto val="1"/>
        <c:lblAlgn val="ctr"/>
        <c:lblOffset val="100"/>
        <c:noMultiLvlLbl val="0"/>
      </c:catAx>
      <c:valAx>
        <c:axId val="1300905904"/>
        <c:scaling>
          <c:orientation val="minMax"/>
          <c:max val="250"/>
          <c:min val="10"/>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00914224"/>
        <c:crosses val="autoZero"/>
        <c:crossBetween val="between"/>
        <c:majorUnit val="30"/>
      </c:valAx>
      <c:spPr>
        <a:noFill/>
        <a:ln>
          <a:solidFill>
            <a:sysClr val="windowText" lastClr="000000"/>
          </a:solidFill>
        </a:ln>
        <a:effectLst/>
      </c:spPr>
    </c:plotArea>
    <c:legend>
      <c:legendPos val="b"/>
      <c:legendEntry>
        <c:idx val="1"/>
        <c:delete val="1"/>
      </c:legendEntry>
      <c:layout>
        <c:manualLayout>
          <c:xMode val="edge"/>
          <c:yMode val="edge"/>
          <c:x val="0"/>
          <c:y val="0.88196210838221401"/>
          <c:w val="0.37350674815286677"/>
          <c:h val="7.4117008690455649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baseline="0">
          <a:solidFill>
            <a:sysClr val="windowText" lastClr="000000"/>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a:t>Catégorie A - Hors</a:t>
            </a:r>
            <a:r>
              <a:rPr lang="fr-FR" baseline="0"/>
              <a:t> enseignants</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lineChart>
        <c:grouping val="standard"/>
        <c:varyColors val="0"/>
        <c:ser>
          <c:idx val="0"/>
          <c:order val="0"/>
          <c:tx>
            <c:strRef>
              <c:f>'Graphique 31'!$B$37</c:f>
              <c:strCache>
                <c:ptCount val="1"/>
                <c:pt idx="0">
                  <c:v>Poste offerts</c:v>
                </c:pt>
              </c:strCache>
            </c:strRef>
          </c:tx>
          <c:spPr>
            <a:ln w="28575" cap="rnd">
              <a:solidFill>
                <a:schemeClr val="accent1">
                  <a:lumMod val="50000"/>
                </a:schemeClr>
              </a:solidFill>
              <a:round/>
            </a:ln>
            <a:effectLst/>
          </c:spPr>
          <c:marker>
            <c:symbol val="none"/>
          </c:marker>
          <c:cat>
            <c:numRef>
              <c:f>'Graphique 31'!$C$5:$Y$5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31'!$C$37:$Y$37</c:f>
              <c:numCache>
                <c:formatCode>_-* #\ ##0_-;\-* #\ ##0_-;_-* "-"??_-;_-@_-</c:formatCode>
                <c:ptCount val="23"/>
                <c:pt idx="0">
                  <c:v>100</c:v>
                </c:pt>
                <c:pt idx="1">
                  <c:v>125.93961799137401</c:v>
                </c:pt>
                <c:pt idx="2">
                  <c:v>131.26925446703635</c:v>
                </c:pt>
                <c:pt idx="3">
                  <c:v>102.68022181146026</c:v>
                </c:pt>
                <c:pt idx="4">
                  <c:v>101.78681454097351</c:v>
                </c:pt>
                <c:pt idx="5">
                  <c:v>98.829328404189781</c:v>
                </c:pt>
                <c:pt idx="6">
                  <c:v>119.2852741836106</c:v>
                </c:pt>
                <c:pt idx="7">
                  <c:v>126.55576093653728</c:v>
                </c:pt>
                <c:pt idx="8">
                  <c:v>121.68823166974738</c:v>
                </c:pt>
                <c:pt idx="9">
                  <c:v>120.76401725200245</c:v>
                </c:pt>
                <c:pt idx="10">
                  <c:v>113.06223043746148</c:v>
                </c:pt>
                <c:pt idx="11">
                  <c:v>108.50277264325324</c:v>
                </c:pt>
                <c:pt idx="12">
                  <c:v>102.58780036968578</c:v>
                </c:pt>
                <c:pt idx="13">
                  <c:v>90.511398644485524</c:v>
                </c:pt>
                <c:pt idx="14">
                  <c:v>129.63647566235366</c:v>
                </c:pt>
                <c:pt idx="15">
                  <c:v>92.698706099815155</c:v>
                </c:pt>
                <c:pt idx="16">
                  <c:v>114.10967344423906</c:v>
                </c:pt>
                <c:pt idx="17">
                  <c:v>125.44670363524337</c:v>
                </c:pt>
                <c:pt idx="18">
                  <c:v>115.92729513247073</c:v>
                </c:pt>
                <c:pt idx="19">
                  <c:v>122.08872458410352</c:v>
                </c:pt>
                <c:pt idx="20">
                  <c:v>134.31916204559457</c:v>
                </c:pt>
                <c:pt idx="21">
                  <c:v>146.67282809611831</c:v>
                </c:pt>
                <c:pt idx="22">
                  <c:v>242.66789895255698</c:v>
                </c:pt>
              </c:numCache>
            </c:numRef>
          </c:val>
          <c:smooth val="0"/>
          <c:extLst>
            <c:ext xmlns:c16="http://schemas.microsoft.com/office/drawing/2014/chart" uri="{C3380CC4-5D6E-409C-BE32-E72D297353CC}">
              <c16:uniqueId val="{00000000-7083-472E-B182-0518DBECDA66}"/>
            </c:ext>
          </c:extLst>
        </c:ser>
        <c:ser>
          <c:idx val="1"/>
          <c:order val="1"/>
          <c:tx>
            <c:strRef>
              <c:f>'Graphique 31'!$B$38</c:f>
              <c:strCache>
                <c:ptCount val="1"/>
                <c:pt idx="0">
                  <c:v>Candidats présents</c:v>
                </c:pt>
              </c:strCache>
            </c:strRef>
          </c:tx>
          <c:spPr>
            <a:ln w="28575" cap="rnd">
              <a:solidFill>
                <a:schemeClr val="accent1">
                  <a:lumMod val="60000"/>
                  <a:lumOff val="40000"/>
                </a:schemeClr>
              </a:solidFill>
              <a:round/>
            </a:ln>
            <a:effectLst/>
          </c:spPr>
          <c:marker>
            <c:symbol val="none"/>
          </c:marker>
          <c:dPt>
            <c:idx val="0"/>
            <c:marker>
              <c:symbol val="circle"/>
              <c:size val="7"/>
              <c:spPr>
                <a:solidFill>
                  <a:schemeClr val="tx1"/>
                </a:solidFill>
                <a:ln w="19050">
                  <a:solidFill>
                    <a:schemeClr val="tx1"/>
                  </a:solidFill>
                </a:ln>
                <a:effectLst/>
              </c:spPr>
            </c:marker>
            <c:bubble3D val="0"/>
            <c:extLst>
              <c:ext xmlns:c16="http://schemas.microsoft.com/office/drawing/2014/chart" uri="{C3380CC4-5D6E-409C-BE32-E72D297353CC}">
                <c16:uniqueId val="{00000001-7083-472E-B182-0518DBECDA66}"/>
              </c:ext>
            </c:extLst>
          </c:dPt>
          <c:cat>
            <c:numRef>
              <c:f>'Graphique 31'!$C$5:$Y$5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31'!$C$38:$Y$38</c:f>
              <c:numCache>
                <c:formatCode>_-* #\ ##0_-;\-* #\ ##0_-;_-* "-"??_-;_-@_-</c:formatCode>
                <c:ptCount val="23"/>
                <c:pt idx="0">
                  <c:v>100</c:v>
                </c:pt>
                <c:pt idx="1">
                  <c:v>99.256579133335222</c:v>
                </c:pt>
                <c:pt idx="2">
                  <c:v>142.75659326681176</c:v>
                </c:pt>
                <c:pt idx="3">
                  <c:v>140.37368912004976</c:v>
                </c:pt>
                <c:pt idx="4">
                  <c:v>154.75732820759248</c:v>
                </c:pt>
                <c:pt idx="5">
                  <c:v>144.43282358594567</c:v>
                </c:pt>
                <c:pt idx="6">
                  <c:v>197.85312491166579</c:v>
                </c:pt>
                <c:pt idx="7">
                  <c:v>154.26548322356334</c:v>
                </c:pt>
                <c:pt idx="8">
                  <c:v>125.14204143935326</c:v>
                </c:pt>
                <c:pt idx="9">
                  <c:v>125.87415552477599</c:v>
                </c:pt>
                <c:pt idx="10">
                  <c:v>122.52876162478445</c:v>
                </c:pt>
                <c:pt idx="11">
                  <c:v>117.17358735901857</c:v>
                </c:pt>
                <c:pt idx="12">
                  <c:v>108.1168555841366</c:v>
                </c:pt>
                <c:pt idx="13">
                  <c:v>111.73926562455834</c:v>
                </c:pt>
                <c:pt idx="14">
                  <c:v>113.6840319981909</c:v>
                </c:pt>
                <c:pt idx="15">
                  <c:v>109.98388783673008</c:v>
                </c:pt>
                <c:pt idx="16">
                  <c:v>118.06258303417474</c:v>
                </c:pt>
                <c:pt idx="17">
                  <c:v>110.37962518020183</c:v>
                </c:pt>
                <c:pt idx="18">
                  <c:v>63.580857619357211</c:v>
                </c:pt>
                <c:pt idx="19">
                  <c:v>70.427113661418446</c:v>
                </c:pt>
                <c:pt idx="20">
                  <c:v>65.467676739124286</c:v>
                </c:pt>
                <c:pt idx="21">
                  <c:v>59.353958786782378</c:v>
                </c:pt>
                <c:pt idx="22">
                  <c:v>68.376346213641639</c:v>
                </c:pt>
              </c:numCache>
            </c:numRef>
          </c:val>
          <c:smooth val="0"/>
          <c:extLst>
            <c:ext xmlns:c16="http://schemas.microsoft.com/office/drawing/2014/chart" uri="{C3380CC4-5D6E-409C-BE32-E72D297353CC}">
              <c16:uniqueId val="{00000002-7083-472E-B182-0518DBECDA66}"/>
            </c:ext>
          </c:extLst>
        </c:ser>
        <c:dLbls>
          <c:showLegendKey val="0"/>
          <c:showVal val="0"/>
          <c:showCatName val="0"/>
          <c:showSerName val="0"/>
          <c:showPercent val="0"/>
          <c:showBubbleSize val="0"/>
        </c:dLbls>
        <c:smooth val="0"/>
        <c:axId val="1300914224"/>
        <c:axId val="1300905904"/>
      </c:lineChart>
      <c:catAx>
        <c:axId val="1300914224"/>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00905904"/>
        <c:crosses val="autoZero"/>
        <c:auto val="1"/>
        <c:lblAlgn val="ctr"/>
        <c:lblOffset val="100"/>
        <c:noMultiLvlLbl val="0"/>
      </c:catAx>
      <c:valAx>
        <c:axId val="1300905904"/>
        <c:scaling>
          <c:orientation val="minMax"/>
          <c:max val="250"/>
          <c:min val="10"/>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00914224"/>
        <c:crosses val="autoZero"/>
        <c:crossBetween val="between"/>
        <c:majorUnit val="30"/>
      </c:valAx>
      <c:spPr>
        <a:noFill/>
        <a:ln>
          <a:solidFill>
            <a:sysClr val="windowText" lastClr="000000"/>
          </a:solidFill>
        </a:ln>
        <a:effectLst/>
      </c:spPr>
    </c:plotArea>
    <c:legend>
      <c:legendPos val="b"/>
      <c:legendEntry>
        <c:idx val="0"/>
        <c:delete val="1"/>
      </c:legendEntry>
      <c:layout>
        <c:manualLayout>
          <c:xMode val="edge"/>
          <c:yMode val="edge"/>
          <c:x val="0.59546701700607063"/>
          <c:y val="0.88196210838221401"/>
          <c:w val="0.39452776395614791"/>
          <c:h val="7.441458333333334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baseline="0">
          <a:solidFill>
            <a:sysClr val="windowText" lastClr="000000"/>
          </a:solidFill>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0925925925925923E-2"/>
          <c:w val="0.82260192475940508"/>
          <c:h val="0.6195195392242635"/>
        </c:manualLayout>
      </c:layout>
      <c:barChart>
        <c:barDir val="col"/>
        <c:grouping val="stacked"/>
        <c:varyColors val="0"/>
        <c:ser>
          <c:idx val="0"/>
          <c:order val="0"/>
          <c:tx>
            <c:strRef>
              <c:f>'Graphique 33'!$B$18</c:f>
              <c:strCache>
                <c:ptCount val="1"/>
                <c:pt idx="0">
                  <c:v>Concours externe</c:v>
                </c:pt>
              </c:strCache>
            </c:strRef>
          </c:tx>
          <c:spPr>
            <a:solidFill>
              <a:schemeClr val="accent1"/>
            </a:solidFill>
            <a:ln>
              <a:solidFill>
                <a:sysClr val="windowText" lastClr="000000"/>
              </a:solidFill>
            </a:ln>
            <a:effectLst/>
          </c:spPr>
          <c:invertIfNegative val="0"/>
          <c:cat>
            <c:numRef>
              <c:f>'Graphique 33'!$C$6:$N$6</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'Graphique 33'!$C$18:$N$18</c:f>
              <c:numCache>
                <c:formatCode>_-* #\ ##0_-;\-* #\ ##0_-;_-* "-"??_-;_-@_-</c:formatCode>
                <c:ptCount val="12"/>
                <c:pt idx="0">
                  <c:v>12279</c:v>
                </c:pt>
                <c:pt idx="1">
                  <c:v>12214</c:v>
                </c:pt>
                <c:pt idx="2">
                  <c:v>11189</c:v>
                </c:pt>
                <c:pt idx="3">
                  <c:v>12065</c:v>
                </c:pt>
                <c:pt idx="4">
                  <c:v>11828</c:v>
                </c:pt>
                <c:pt idx="5">
                  <c:v>8343</c:v>
                </c:pt>
                <c:pt idx="6">
                  <c:v>9705</c:v>
                </c:pt>
                <c:pt idx="7">
                  <c:v>10204</c:v>
                </c:pt>
                <c:pt idx="8">
                  <c:v>8297</c:v>
                </c:pt>
                <c:pt idx="9">
                  <c:v>7835</c:v>
                </c:pt>
                <c:pt idx="10">
                  <c:v>13058</c:v>
                </c:pt>
                <c:pt idx="11">
                  <c:v>14357</c:v>
                </c:pt>
              </c:numCache>
            </c:numRef>
          </c:val>
          <c:extLst>
            <c:ext xmlns:c16="http://schemas.microsoft.com/office/drawing/2014/chart" uri="{C3380CC4-5D6E-409C-BE32-E72D297353CC}">
              <c16:uniqueId val="{00000000-ED9F-49B8-BBFD-11225DE50991}"/>
            </c:ext>
          </c:extLst>
        </c:ser>
        <c:ser>
          <c:idx val="1"/>
          <c:order val="1"/>
          <c:tx>
            <c:strRef>
              <c:f>'Graphique 33'!$B$19</c:f>
              <c:strCache>
                <c:ptCount val="1"/>
                <c:pt idx="0">
                  <c:v>Concours unique et troisième concours </c:v>
                </c:pt>
              </c:strCache>
            </c:strRef>
          </c:tx>
          <c:spPr>
            <a:solidFill>
              <a:schemeClr val="accent3"/>
            </a:solidFill>
            <a:ln>
              <a:solidFill>
                <a:sysClr val="windowText" lastClr="000000"/>
              </a:solidFill>
            </a:ln>
            <a:effectLst/>
          </c:spPr>
          <c:invertIfNegative val="0"/>
          <c:cat>
            <c:numRef>
              <c:f>'Graphique 33'!$C$6:$N$6</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'Graphique 33'!$C$19:$N$19</c:f>
              <c:numCache>
                <c:formatCode>_-* #\ ##0_-;\-* #\ ##0_-;_-* "-"??_-;_-@_-</c:formatCode>
                <c:ptCount val="12"/>
                <c:pt idx="0">
                  <c:v>1356</c:v>
                </c:pt>
                <c:pt idx="1">
                  <c:v>1307</c:v>
                </c:pt>
                <c:pt idx="2">
                  <c:v>1221</c:v>
                </c:pt>
                <c:pt idx="3">
                  <c:v>1432</c:v>
                </c:pt>
                <c:pt idx="4">
                  <c:v>2023</c:v>
                </c:pt>
                <c:pt idx="5">
                  <c:v>1059</c:v>
                </c:pt>
                <c:pt idx="6">
                  <c:v>1742</c:v>
                </c:pt>
                <c:pt idx="7">
                  <c:v>1166</c:v>
                </c:pt>
                <c:pt idx="8">
                  <c:v>1123</c:v>
                </c:pt>
                <c:pt idx="9">
                  <c:v>572</c:v>
                </c:pt>
                <c:pt idx="10">
                  <c:v>1253</c:v>
                </c:pt>
                <c:pt idx="11">
                  <c:v>784</c:v>
                </c:pt>
              </c:numCache>
            </c:numRef>
          </c:val>
          <c:extLst>
            <c:ext xmlns:c16="http://schemas.microsoft.com/office/drawing/2014/chart" uri="{C3380CC4-5D6E-409C-BE32-E72D297353CC}">
              <c16:uniqueId val="{00000001-ED9F-49B8-BBFD-11225DE50991}"/>
            </c:ext>
          </c:extLst>
        </c:ser>
        <c:ser>
          <c:idx val="2"/>
          <c:order val="2"/>
          <c:tx>
            <c:strRef>
              <c:f>'Graphique 33'!$B$20</c:f>
              <c:strCache>
                <c:ptCount val="1"/>
                <c:pt idx="0">
                  <c:v>Sans concours</c:v>
                </c:pt>
              </c:strCache>
            </c:strRef>
          </c:tx>
          <c:spPr>
            <a:solidFill>
              <a:schemeClr val="accent5"/>
            </a:solidFill>
            <a:ln>
              <a:solidFill>
                <a:sysClr val="windowText" lastClr="000000"/>
              </a:solidFill>
            </a:ln>
            <a:effectLst/>
          </c:spPr>
          <c:invertIfNegative val="0"/>
          <c:cat>
            <c:numRef>
              <c:f>'Graphique 33'!$C$6:$N$6</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'Graphique 33'!$C$20:$N$20</c:f>
              <c:numCache>
                <c:formatCode>_-* #\ ##0_-;\-* #\ ##0_-;_-* "-"??_-;_-@_-</c:formatCode>
                <c:ptCount val="12"/>
                <c:pt idx="0">
                  <c:v>22862</c:v>
                </c:pt>
                <c:pt idx="1">
                  <c:v>18643</c:v>
                </c:pt>
                <c:pt idx="2">
                  <c:v>22235</c:v>
                </c:pt>
                <c:pt idx="3">
                  <c:v>17189</c:v>
                </c:pt>
                <c:pt idx="4">
                  <c:v>18156</c:v>
                </c:pt>
                <c:pt idx="5">
                  <c:v>19752</c:v>
                </c:pt>
                <c:pt idx="6">
                  <c:v>0</c:v>
                </c:pt>
                <c:pt idx="7">
                  <c:v>19137</c:v>
                </c:pt>
                <c:pt idx="8">
                  <c:v>24912</c:v>
                </c:pt>
                <c:pt idx="9">
                  <c:v>22058</c:v>
                </c:pt>
                <c:pt idx="10">
                  <c:v>20430</c:v>
                </c:pt>
                <c:pt idx="11">
                  <c:v>19916</c:v>
                </c:pt>
              </c:numCache>
            </c:numRef>
          </c:val>
          <c:extLst>
            <c:ext xmlns:c16="http://schemas.microsoft.com/office/drawing/2014/chart" uri="{C3380CC4-5D6E-409C-BE32-E72D297353CC}">
              <c16:uniqueId val="{00000002-ED9F-49B8-BBFD-11225DE50991}"/>
            </c:ext>
          </c:extLst>
        </c:ser>
        <c:dLbls>
          <c:showLegendKey val="0"/>
          <c:showVal val="0"/>
          <c:showCatName val="0"/>
          <c:showSerName val="0"/>
          <c:showPercent val="0"/>
          <c:showBubbleSize val="0"/>
        </c:dLbls>
        <c:gapWidth val="219"/>
        <c:overlap val="100"/>
        <c:axId val="952944448"/>
        <c:axId val="952956512"/>
      </c:barChart>
      <c:lineChart>
        <c:grouping val="standard"/>
        <c:varyColors val="0"/>
        <c:ser>
          <c:idx val="3"/>
          <c:order val="3"/>
          <c:tx>
            <c:strRef>
              <c:f>'Graphique 33'!$B$22</c:f>
              <c:strCache>
                <c:ptCount val="1"/>
                <c:pt idx="0">
                  <c:v>Part des recrutements sans concours</c:v>
                </c:pt>
              </c:strCache>
            </c:strRef>
          </c:tx>
          <c:spPr>
            <a:ln w="28575" cap="rnd">
              <a:solidFill>
                <a:schemeClr val="tx1"/>
              </a:solidFill>
              <a:round/>
            </a:ln>
            <a:effectLst/>
          </c:spPr>
          <c:marker>
            <c:symbol val="triangle"/>
            <c:size val="5"/>
            <c:spPr>
              <a:solidFill>
                <a:schemeClr val="tx1"/>
              </a:solidFill>
              <a:ln w="9525">
                <a:solidFill>
                  <a:schemeClr val="tx1"/>
                </a:solidFill>
              </a:ln>
              <a:effectLst/>
            </c:spPr>
          </c:marker>
          <c:val>
            <c:numRef>
              <c:f>'Graphique 33'!$C$22:$N$22</c:f>
              <c:numCache>
                <c:formatCode>0%</c:formatCode>
                <c:ptCount val="12"/>
                <c:pt idx="0">
                  <c:v>0.62642481367821135</c:v>
                </c:pt>
                <c:pt idx="1">
                  <c:v>0.57967724884176486</c:v>
                </c:pt>
                <c:pt idx="2">
                  <c:v>0.64185093239420354</c:v>
                </c:pt>
                <c:pt idx="3">
                  <c:v>0.56021249551869112</c:v>
                </c:pt>
                <c:pt idx="4">
                  <c:v>0.56726863713053799</c:v>
                </c:pt>
                <c:pt idx="5">
                  <c:v>0.67752889925565118</c:v>
                </c:pt>
                <c:pt idx="7">
                  <c:v>0.62731921589195572</c:v>
                </c:pt>
                <c:pt idx="8">
                  <c:v>0.72562041244320163</c:v>
                </c:pt>
                <c:pt idx="9">
                  <c:v>0.72406775210084029</c:v>
                </c:pt>
                <c:pt idx="10">
                  <c:v>0.58806597392130333</c:v>
                </c:pt>
                <c:pt idx="11">
                  <c:v>0.56810337450437853</c:v>
                </c:pt>
              </c:numCache>
            </c:numRef>
          </c:val>
          <c:smooth val="0"/>
          <c:extLst>
            <c:ext xmlns:c16="http://schemas.microsoft.com/office/drawing/2014/chart" uri="{C3380CC4-5D6E-409C-BE32-E72D297353CC}">
              <c16:uniqueId val="{00000003-ED9F-49B8-BBFD-11225DE50991}"/>
            </c:ext>
          </c:extLst>
        </c:ser>
        <c:dLbls>
          <c:showLegendKey val="0"/>
          <c:showVal val="0"/>
          <c:showCatName val="0"/>
          <c:showSerName val="0"/>
          <c:showPercent val="0"/>
          <c:showBubbleSize val="0"/>
        </c:dLbls>
        <c:marker val="1"/>
        <c:smooth val="0"/>
        <c:axId val="475299296"/>
        <c:axId val="475300544"/>
      </c:lineChart>
      <c:catAx>
        <c:axId val="952944448"/>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2956512"/>
        <c:crosses val="autoZero"/>
        <c:auto val="1"/>
        <c:lblAlgn val="ctr"/>
        <c:lblOffset val="100"/>
        <c:noMultiLvlLbl val="0"/>
      </c:catAx>
      <c:valAx>
        <c:axId val="952956512"/>
        <c:scaling>
          <c:orientation val="minMax"/>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2944448"/>
        <c:crosses val="autoZero"/>
        <c:crossBetween val="between"/>
      </c:valAx>
      <c:valAx>
        <c:axId val="47530054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5299296"/>
        <c:crosses val="max"/>
        <c:crossBetween val="between"/>
      </c:valAx>
      <c:catAx>
        <c:axId val="475299296"/>
        <c:scaling>
          <c:orientation val="minMax"/>
        </c:scaling>
        <c:delete val="1"/>
        <c:axPos val="b"/>
        <c:majorTickMark val="out"/>
        <c:minorTickMark val="none"/>
        <c:tickLblPos val="nextTo"/>
        <c:crossAx val="475300544"/>
        <c:crosses val="autoZero"/>
        <c:auto val="1"/>
        <c:lblAlgn val="ctr"/>
        <c:lblOffset val="100"/>
        <c:noMultiLvlLbl val="0"/>
      </c:catAx>
      <c:spPr>
        <a:noFill/>
        <a:ln>
          <a:solidFill>
            <a:sysClr val="windowText" lastClr="000000"/>
          </a:solidFill>
        </a:ln>
        <a:effectLst/>
      </c:spPr>
    </c:plotArea>
    <c:legend>
      <c:legendPos val="b"/>
      <c:layout>
        <c:manualLayout>
          <c:xMode val="edge"/>
          <c:yMode val="edge"/>
          <c:x val="0"/>
          <c:y val="0.78846977554421716"/>
          <c:w val="1"/>
          <c:h val="0.2027493214678212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'Graphique 34'!$B$7</c:f>
              <c:strCache>
                <c:ptCount val="1"/>
                <c:pt idx="0">
                  <c:v>Postes offerts </c:v>
                </c:pt>
              </c:strCache>
            </c:strRef>
          </c:tx>
          <c:spPr>
            <a:ln w="19050" cap="rnd">
              <a:solidFill>
                <a:schemeClr val="accent1"/>
              </a:solidFill>
              <a:round/>
            </a:ln>
            <a:effectLst/>
          </c:spPr>
          <c:marker>
            <c:symbol val="triangle"/>
            <c:size val="5"/>
            <c:spPr>
              <a:solidFill>
                <a:schemeClr val="accent1"/>
              </a:solidFill>
              <a:ln w="9525">
                <a:solidFill>
                  <a:schemeClr val="accent1"/>
                </a:solidFill>
              </a:ln>
              <a:effectLst/>
            </c:spPr>
          </c:marker>
          <c:cat>
            <c:numRef>
              <c:f>'Graphique 34'!$C$6:$N$6</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'Graphique 34'!$C$9:$N$9</c:f>
              <c:numCache>
                <c:formatCode>#,##0</c:formatCode>
                <c:ptCount val="12"/>
                <c:pt idx="0">
                  <c:v>100</c:v>
                </c:pt>
                <c:pt idx="1">
                  <c:v>104.96637713645278</c:v>
                </c:pt>
                <c:pt idx="2">
                  <c:v>92.911179602129451</c:v>
                </c:pt>
                <c:pt idx="3">
                  <c:v>107.74026337909778</c:v>
                </c:pt>
                <c:pt idx="4">
                  <c:v>96.784813673297847</c:v>
                </c:pt>
                <c:pt idx="5">
                  <c:v>65.102269543289438</c:v>
                </c:pt>
                <c:pt idx="6">
                  <c:v>79.735219949565703</c:v>
                </c:pt>
                <c:pt idx="7">
                  <c:v>84.344354160829354</c:v>
                </c:pt>
                <c:pt idx="8">
                  <c:v>71.546651723171763</c:v>
                </c:pt>
                <c:pt idx="9">
                  <c:v>87.727654805267591</c:v>
                </c:pt>
                <c:pt idx="10">
                  <c:v>118.78677500700476</c:v>
                </c:pt>
                <c:pt idx="11">
                  <c:v>129.26590081255253</c:v>
                </c:pt>
              </c:numCache>
            </c:numRef>
          </c:val>
          <c:smooth val="0"/>
          <c:extLst>
            <c:ext xmlns:c16="http://schemas.microsoft.com/office/drawing/2014/chart" uri="{C3380CC4-5D6E-409C-BE32-E72D297353CC}">
              <c16:uniqueId val="{00000000-3C50-4301-A96A-02252B10B2DC}"/>
            </c:ext>
          </c:extLst>
        </c:ser>
        <c:ser>
          <c:idx val="1"/>
          <c:order val="1"/>
          <c:tx>
            <c:strRef>
              <c:f>'Graphique 34'!$B$12</c:f>
              <c:strCache>
                <c:ptCount val="1"/>
                <c:pt idx="0">
                  <c:v>Candidats présents</c:v>
                </c:pt>
              </c:strCache>
            </c:strRef>
          </c:tx>
          <c:spPr>
            <a:ln w="19050" cap="rnd">
              <a:solidFill>
                <a:schemeClr val="accent3"/>
              </a:solidFill>
              <a:round/>
            </a:ln>
            <a:effectLst/>
          </c:spPr>
          <c:marker>
            <c:symbol val="triangle"/>
            <c:size val="5"/>
            <c:spPr>
              <a:solidFill>
                <a:schemeClr val="accent3"/>
              </a:solidFill>
              <a:ln w="9525">
                <a:solidFill>
                  <a:schemeClr val="accent3"/>
                </a:solidFill>
              </a:ln>
              <a:effectLst/>
            </c:spPr>
          </c:marker>
          <c:dPt>
            <c:idx val="0"/>
            <c:marker>
              <c:symbol val="circle"/>
              <c:size val="7"/>
              <c:spPr>
                <a:solidFill>
                  <a:schemeClr val="tx1">
                    <a:alpha val="98000"/>
                  </a:schemeClr>
                </a:solidFill>
                <a:ln w="9525">
                  <a:solidFill>
                    <a:schemeClr val="tx1"/>
                  </a:solidFill>
                </a:ln>
                <a:effectLst/>
              </c:spPr>
            </c:marker>
            <c:bubble3D val="0"/>
            <c:extLst>
              <c:ext xmlns:c16="http://schemas.microsoft.com/office/drawing/2014/chart" uri="{C3380CC4-5D6E-409C-BE32-E72D297353CC}">
                <c16:uniqueId val="{00000001-3C50-4301-A96A-02252B10B2DC}"/>
              </c:ext>
            </c:extLst>
          </c:dPt>
          <c:dPt>
            <c:idx val="10"/>
            <c:marker>
              <c:symbol val="none"/>
            </c:marker>
            <c:bubble3D val="0"/>
            <c:spPr>
              <a:ln w="19050" cap="rnd">
                <a:solidFill>
                  <a:schemeClr val="accent3"/>
                </a:solidFill>
                <a:prstDash val="sysDot"/>
                <a:round/>
              </a:ln>
              <a:effectLst/>
            </c:spPr>
            <c:extLst>
              <c:ext xmlns:c16="http://schemas.microsoft.com/office/drawing/2014/chart" uri="{C3380CC4-5D6E-409C-BE32-E72D297353CC}">
                <c16:uniqueId val="{00000001-68B6-4D48-869D-87629EA0CBCB}"/>
              </c:ext>
            </c:extLst>
          </c:dPt>
          <c:dPt>
            <c:idx val="11"/>
            <c:marker>
              <c:symbol val="triangle"/>
              <c:size val="5"/>
              <c:spPr>
                <a:solidFill>
                  <a:schemeClr val="accent3"/>
                </a:solidFill>
                <a:ln w="9525">
                  <a:solidFill>
                    <a:schemeClr val="accent3"/>
                  </a:solidFill>
                </a:ln>
                <a:effectLst/>
              </c:spPr>
            </c:marker>
            <c:bubble3D val="0"/>
            <c:spPr>
              <a:ln w="19050" cap="rnd">
                <a:solidFill>
                  <a:schemeClr val="accent3"/>
                </a:solidFill>
                <a:prstDash val="sysDot"/>
                <a:round/>
              </a:ln>
              <a:effectLst/>
            </c:spPr>
            <c:extLst>
              <c:ext xmlns:c16="http://schemas.microsoft.com/office/drawing/2014/chart" uri="{C3380CC4-5D6E-409C-BE32-E72D297353CC}">
                <c16:uniqueId val="{00000002-68B6-4D48-869D-87629EA0CBCB}"/>
              </c:ext>
            </c:extLst>
          </c:dPt>
          <c:cat>
            <c:numRef>
              <c:f>'Graphique 34'!$C$6:$N$6</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'Graphique 34'!$C$14:$N$14</c:f>
              <c:numCache>
                <c:formatCode>#,##0</c:formatCode>
                <c:ptCount val="12"/>
                <c:pt idx="0">
                  <c:v>100</c:v>
                </c:pt>
                <c:pt idx="1">
                  <c:v>104.10040862238017</c:v>
                </c:pt>
                <c:pt idx="2">
                  <c:v>88.411623589605753</c:v>
                </c:pt>
                <c:pt idx="3">
                  <c:v>99.90717652387282</c:v>
                </c:pt>
                <c:pt idx="4">
                  <c:v>90.015130475465241</c:v>
                </c:pt>
                <c:pt idx="5">
                  <c:v>77.493915458468337</c:v>
                </c:pt>
                <c:pt idx="6">
                  <c:v>61.0245919997611</c:v>
                </c:pt>
                <c:pt idx="7">
                  <c:v>68.698082311777384</c:v>
                </c:pt>
                <c:pt idx="8">
                  <c:v>61.818444248677331</c:v>
                </c:pt>
                <c:pt idx="9">
                  <c:v>39.863079151299779</c:v>
                </c:pt>
                <c:pt idx="10">
                  <c:v>60.093246532184622</c:v>
                </c:pt>
                <c:pt idx="11">
                  <c:v>80.323413913069459</c:v>
                </c:pt>
              </c:numCache>
            </c:numRef>
          </c:val>
          <c:smooth val="0"/>
          <c:extLst>
            <c:ext xmlns:c16="http://schemas.microsoft.com/office/drawing/2014/chart" uri="{C3380CC4-5D6E-409C-BE32-E72D297353CC}">
              <c16:uniqueId val="{00000002-3C50-4301-A96A-02252B10B2DC}"/>
            </c:ext>
          </c:extLst>
        </c:ser>
        <c:dLbls>
          <c:showLegendKey val="0"/>
          <c:showVal val="0"/>
          <c:showCatName val="0"/>
          <c:showSerName val="0"/>
          <c:showPercent val="0"/>
          <c:showBubbleSize val="0"/>
        </c:dLbls>
        <c:marker val="1"/>
        <c:smooth val="0"/>
        <c:axId val="897730944"/>
        <c:axId val="897729280"/>
      </c:lineChart>
      <c:catAx>
        <c:axId val="897730944"/>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97729280"/>
        <c:crosses val="autoZero"/>
        <c:auto val="1"/>
        <c:lblAlgn val="ctr"/>
        <c:lblOffset val="100"/>
        <c:noMultiLvlLbl val="0"/>
      </c:catAx>
      <c:valAx>
        <c:axId val="897729280"/>
        <c:scaling>
          <c:orientation val="minMax"/>
          <c:max val="130"/>
          <c:min val="3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97730944"/>
        <c:crosses val="autoZero"/>
        <c:crossBetween val="between"/>
      </c:valAx>
      <c:spPr>
        <a:noFill/>
        <a:ln>
          <a:solidFill>
            <a:sysClr val="windowText" lastClr="000000"/>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'Graphique 35'!$C$18</c:f>
              <c:strCache>
                <c:ptCount val="1"/>
                <c:pt idx="0">
                  <c:v>A</c:v>
                </c:pt>
              </c:strCache>
            </c:strRef>
          </c:tx>
          <c:spPr>
            <a:solidFill>
              <a:schemeClr val="accent1"/>
            </a:solidFill>
            <a:ln>
              <a:noFill/>
            </a:ln>
            <a:effectLst/>
          </c:spPr>
          <c:invertIfNegative val="0"/>
          <c:cat>
            <c:numRef>
              <c:f>'Graphique 35'!$D$9:$Z$9</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35'!$D$18:$Z$18</c:f>
              <c:numCache>
                <c:formatCode>_-* #\ ##0_-;\-* #\ ##0_-;_-* "-"??_-;_-@_-</c:formatCode>
                <c:ptCount val="23"/>
                <c:pt idx="0">
                  <c:v>72.740245346829468</c:v>
                </c:pt>
                <c:pt idx="1">
                  <c:v>72.757354749565124</c:v>
                </c:pt>
                <c:pt idx="2">
                  <c:v>74.311481376632827</c:v>
                </c:pt>
                <c:pt idx="3">
                  <c:v>71.333297436173567</c:v>
                </c:pt>
                <c:pt idx="4">
                  <c:v>71.76598423693784</c:v>
                </c:pt>
                <c:pt idx="5">
                  <c:v>66.767614139336189</c:v>
                </c:pt>
                <c:pt idx="6">
                  <c:v>66.571010478269073</c:v>
                </c:pt>
                <c:pt idx="7">
                  <c:v>64.748360768823019</c:v>
                </c:pt>
                <c:pt idx="8">
                  <c:v>57.487993707868732</c:v>
                </c:pt>
                <c:pt idx="9">
                  <c:v>63.550027395153464</c:v>
                </c:pt>
                <c:pt idx="10">
                  <c:v>58.025200366038831</c:v>
                </c:pt>
                <c:pt idx="11">
                  <c:v>54.74627603683787</c:v>
                </c:pt>
                <c:pt idx="12">
                  <c:v>53.905766603566683</c:v>
                </c:pt>
                <c:pt idx="13">
                  <c:v>56.859952324195476</c:v>
                </c:pt>
                <c:pt idx="14">
                  <c:v>50.557576310418348</c:v>
                </c:pt>
                <c:pt idx="15">
                  <c:v>58.429235595146913</c:v>
                </c:pt>
                <c:pt idx="16">
                  <c:v>48.423607362189649</c:v>
                </c:pt>
                <c:pt idx="17">
                  <c:v>47.239990325997219</c:v>
                </c:pt>
                <c:pt idx="18">
                  <c:v>50.332835212606987</c:v>
                </c:pt>
                <c:pt idx="20">
                  <c:v>52.203793808101594</c:v>
                </c:pt>
                <c:pt idx="21">
                  <c:v>48.454706927175842</c:v>
                </c:pt>
                <c:pt idx="22">
                  <c:v>51.129264776549732</c:v>
                </c:pt>
              </c:numCache>
            </c:numRef>
          </c:val>
          <c:extLst>
            <c:ext xmlns:c16="http://schemas.microsoft.com/office/drawing/2014/chart" uri="{C3380CC4-5D6E-409C-BE32-E72D297353CC}">
              <c16:uniqueId val="{00000000-BAA4-4346-9611-C8008E92F671}"/>
            </c:ext>
          </c:extLst>
        </c:ser>
        <c:ser>
          <c:idx val="1"/>
          <c:order val="1"/>
          <c:tx>
            <c:strRef>
              <c:f>'Graphique 35'!$C$19</c:f>
              <c:strCache>
                <c:ptCount val="1"/>
                <c:pt idx="0">
                  <c:v>B</c:v>
                </c:pt>
              </c:strCache>
            </c:strRef>
          </c:tx>
          <c:spPr>
            <a:solidFill>
              <a:schemeClr val="accent3"/>
            </a:solidFill>
            <a:ln>
              <a:noFill/>
            </a:ln>
            <a:effectLst/>
          </c:spPr>
          <c:invertIfNegative val="0"/>
          <c:cat>
            <c:numRef>
              <c:f>'Graphique 35'!$D$9:$Z$9</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35'!$D$19:$Z$19</c:f>
              <c:numCache>
                <c:formatCode>_-* #\ ##0_-;\-* #\ ##0_-;_-* "-"??_-;_-@_-</c:formatCode>
                <c:ptCount val="23"/>
                <c:pt idx="0">
                  <c:v>64.914637818805161</c:v>
                </c:pt>
                <c:pt idx="1">
                  <c:v>63.396878888999019</c:v>
                </c:pt>
                <c:pt idx="2">
                  <c:v>69.878972157634294</c:v>
                </c:pt>
                <c:pt idx="3">
                  <c:v>66.124753418134816</c:v>
                </c:pt>
                <c:pt idx="4">
                  <c:v>66.677816877851669</c:v>
                </c:pt>
                <c:pt idx="5">
                  <c:v>56.774916013437846</c:v>
                </c:pt>
                <c:pt idx="6">
                  <c:v>68.031421090216611</c:v>
                </c:pt>
                <c:pt idx="7">
                  <c:v>59.547707766849058</c:v>
                </c:pt>
                <c:pt idx="8">
                  <c:v>51.954135753265071</c:v>
                </c:pt>
                <c:pt idx="9">
                  <c:v>61.661461586508437</c:v>
                </c:pt>
                <c:pt idx="10">
                  <c:v>60.449903755179278</c:v>
                </c:pt>
                <c:pt idx="11">
                  <c:v>61.891740288879539</c:v>
                </c:pt>
                <c:pt idx="12">
                  <c:v>57.575885506818082</c:v>
                </c:pt>
                <c:pt idx="13">
                  <c:v>57.347826086956523</c:v>
                </c:pt>
                <c:pt idx="14">
                  <c:v>60.083883177331089</c:v>
                </c:pt>
                <c:pt idx="15">
                  <c:v>53.095559615537368</c:v>
                </c:pt>
                <c:pt idx="16">
                  <c:v>59.116384642691941</c:v>
                </c:pt>
                <c:pt idx="17">
                  <c:v>52.184029613960867</c:v>
                </c:pt>
                <c:pt idx="18">
                  <c:v>53.054610475078846</c:v>
                </c:pt>
                <c:pt idx="20">
                  <c:v>52.344188283065741</c:v>
                </c:pt>
                <c:pt idx="21">
                  <c:v>49.651324965132495</c:v>
                </c:pt>
                <c:pt idx="22">
                  <c:v>51.428571428571423</c:v>
                </c:pt>
              </c:numCache>
            </c:numRef>
          </c:val>
          <c:extLst>
            <c:ext xmlns:c16="http://schemas.microsoft.com/office/drawing/2014/chart" uri="{C3380CC4-5D6E-409C-BE32-E72D297353CC}">
              <c16:uniqueId val="{00000001-BAA4-4346-9611-C8008E92F671}"/>
            </c:ext>
          </c:extLst>
        </c:ser>
        <c:ser>
          <c:idx val="2"/>
          <c:order val="2"/>
          <c:tx>
            <c:strRef>
              <c:f>'Graphique 35'!$C$20</c:f>
              <c:strCache>
                <c:ptCount val="1"/>
                <c:pt idx="0">
                  <c:v>C</c:v>
                </c:pt>
              </c:strCache>
            </c:strRef>
          </c:tx>
          <c:spPr>
            <a:solidFill>
              <a:schemeClr val="accent5"/>
            </a:solidFill>
            <a:ln>
              <a:noFill/>
            </a:ln>
            <a:effectLst/>
          </c:spPr>
          <c:invertIfNegative val="0"/>
          <c:cat>
            <c:numRef>
              <c:f>'Graphique 35'!$D$9:$Z$9</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35'!$D$20:$Z$20</c:f>
              <c:numCache>
                <c:formatCode>_-* #\ ##0_-;\-* #\ ##0_-;_-* "-"??_-;_-@_-</c:formatCode>
                <c:ptCount val="23"/>
                <c:pt idx="0">
                  <c:v>63.551832036248015</c:v>
                </c:pt>
                <c:pt idx="1">
                  <c:v>63.218957702153645</c:v>
                </c:pt>
                <c:pt idx="2">
                  <c:v>61.391133180614808</c:v>
                </c:pt>
                <c:pt idx="3">
                  <c:v>68.739089379109458</c:v>
                </c:pt>
                <c:pt idx="4">
                  <c:v>60.4619325054501</c:v>
                </c:pt>
                <c:pt idx="5">
                  <c:v>61.907358719519245</c:v>
                </c:pt>
                <c:pt idx="6">
                  <c:v>64.839317325586677</c:v>
                </c:pt>
                <c:pt idx="7">
                  <c:v>63.930002963332655</c:v>
                </c:pt>
                <c:pt idx="8">
                  <c:v>62.546105640107427</c:v>
                </c:pt>
                <c:pt idx="9">
                  <c:v>55.137957911145755</c:v>
                </c:pt>
                <c:pt idx="13">
                  <c:v>52.418785772155871</c:v>
                </c:pt>
                <c:pt idx="14">
                  <c:v>45.685888459554221</c:v>
                </c:pt>
                <c:pt idx="15">
                  <c:v>51.946090558655996</c:v>
                </c:pt>
                <c:pt idx="16">
                  <c:v>46.5986727057469</c:v>
                </c:pt>
                <c:pt idx="17">
                  <c:v>39.901056390418091</c:v>
                </c:pt>
                <c:pt idx="18">
                  <c:v>45.840692334864009</c:v>
                </c:pt>
                <c:pt idx="20">
                  <c:v>46.974157670919205</c:v>
                </c:pt>
                <c:pt idx="21">
                  <c:v>45.909849749582641</c:v>
                </c:pt>
                <c:pt idx="22">
                  <c:v>39.164086687306501</c:v>
                </c:pt>
              </c:numCache>
            </c:numRef>
          </c:val>
          <c:extLst>
            <c:ext xmlns:c16="http://schemas.microsoft.com/office/drawing/2014/chart" uri="{C3380CC4-5D6E-409C-BE32-E72D297353CC}">
              <c16:uniqueId val="{00000002-BAA4-4346-9611-C8008E92F671}"/>
            </c:ext>
          </c:extLst>
        </c:ser>
        <c:ser>
          <c:idx val="3"/>
          <c:order val="3"/>
          <c:tx>
            <c:strRef>
              <c:f>'Graphique 35'!$C$21</c:f>
              <c:strCache>
                <c:ptCount val="1"/>
                <c:pt idx="0">
                  <c:v>Total</c:v>
                </c:pt>
              </c:strCache>
            </c:strRef>
          </c:tx>
          <c:spPr>
            <a:solidFill>
              <a:schemeClr val="tx1"/>
            </a:solidFill>
            <a:ln>
              <a:noFill/>
            </a:ln>
            <a:effectLst/>
          </c:spPr>
          <c:invertIfNegative val="0"/>
          <c:cat>
            <c:numRef>
              <c:f>'Graphique 35'!$D$9:$Z$9</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'Graphique 35'!$D$21:$Z$21</c:f>
              <c:numCache>
                <c:formatCode>_-* #\ ##0_-;\-* #\ ##0_-;_-* "-"??_-;_-@_-</c:formatCode>
                <c:ptCount val="23"/>
                <c:pt idx="0">
                  <c:v>67.394035066668664</c:v>
                </c:pt>
                <c:pt idx="1">
                  <c:v>67.294676737584084</c:v>
                </c:pt>
                <c:pt idx="2">
                  <c:v>67.664462961208471</c:v>
                </c:pt>
                <c:pt idx="3">
                  <c:v>69.516420681452644</c:v>
                </c:pt>
                <c:pt idx="4">
                  <c:v>66.036940376577263</c:v>
                </c:pt>
                <c:pt idx="5">
                  <c:v>63.660976467605124</c:v>
                </c:pt>
                <c:pt idx="6">
                  <c:v>66.519032746297128</c:v>
                </c:pt>
                <c:pt idx="7">
                  <c:v>63.592848377904211</c:v>
                </c:pt>
                <c:pt idx="8">
                  <c:v>58.027163558624949</c:v>
                </c:pt>
                <c:pt idx="9">
                  <c:v>60.506352823650609</c:v>
                </c:pt>
                <c:pt idx="13">
                  <c:v>55.803328107231529</c:v>
                </c:pt>
                <c:pt idx="14">
                  <c:v>50.747964062834527</c:v>
                </c:pt>
                <c:pt idx="15">
                  <c:v>56.098645140642219</c:v>
                </c:pt>
                <c:pt idx="16">
                  <c:v>50.479521101168622</c:v>
                </c:pt>
                <c:pt idx="17">
                  <c:v>46.555456414633198</c:v>
                </c:pt>
                <c:pt idx="18">
                  <c:v>49.879359190800862</c:v>
                </c:pt>
                <c:pt idx="19">
                  <c:v>40.466284087183233</c:v>
                </c:pt>
                <c:pt idx="20">
                  <c:v>51.167089939826568</c:v>
                </c:pt>
                <c:pt idx="21">
                  <c:v>47.991543340380552</c:v>
                </c:pt>
                <c:pt idx="22">
                  <c:v>48.934928508899908</c:v>
                </c:pt>
              </c:numCache>
            </c:numRef>
          </c:val>
          <c:extLst>
            <c:ext xmlns:c16="http://schemas.microsoft.com/office/drawing/2014/chart" uri="{C3380CC4-5D6E-409C-BE32-E72D297353CC}">
              <c16:uniqueId val="{00000003-BAA4-4346-9611-C8008E92F671}"/>
            </c:ext>
          </c:extLst>
        </c:ser>
        <c:dLbls>
          <c:showLegendKey val="0"/>
          <c:showVal val="0"/>
          <c:showCatName val="0"/>
          <c:showSerName val="0"/>
          <c:showPercent val="0"/>
          <c:showBubbleSize val="0"/>
        </c:dLbls>
        <c:gapWidth val="219"/>
        <c:overlap val="-27"/>
        <c:axId val="891794912"/>
        <c:axId val="891790752"/>
      </c:barChart>
      <c:catAx>
        <c:axId val="891794912"/>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91790752"/>
        <c:crosses val="autoZero"/>
        <c:auto val="1"/>
        <c:lblAlgn val="ctr"/>
        <c:lblOffset val="100"/>
        <c:noMultiLvlLbl val="0"/>
      </c:catAx>
      <c:valAx>
        <c:axId val="891790752"/>
        <c:scaling>
          <c:orientation val="minMax"/>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91794912"/>
        <c:crosses val="autoZero"/>
        <c:crossBetween val="between"/>
      </c:valAx>
      <c:spPr>
        <a:noFill/>
        <a:ln>
          <a:solidFill>
            <a:sysClr val="windowText" lastClr="000000"/>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100904</xdr:colOff>
      <xdr:row>15</xdr:row>
      <xdr:rowOff>31372</xdr:rowOff>
    </xdr:from>
    <xdr:to>
      <xdr:col>7</xdr:col>
      <xdr:colOff>153063</xdr:colOff>
      <xdr:row>29</xdr:row>
      <xdr:rowOff>98227</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89402</xdr:colOff>
      <xdr:row>32</xdr:row>
      <xdr:rowOff>75060</xdr:rowOff>
    </xdr:from>
    <xdr:to>
      <xdr:col>6</xdr:col>
      <xdr:colOff>106655</xdr:colOff>
      <xdr:row>47</xdr:row>
      <xdr:rowOff>92313</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216222</xdr:colOff>
      <xdr:row>32</xdr:row>
      <xdr:rowOff>75060</xdr:rowOff>
    </xdr:from>
    <xdr:to>
      <xdr:col>12</xdr:col>
      <xdr:colOff>233475</xdr:colOff>
      <xdr:row>47</xdr:row>
      <xdr:rowOff>92313</xdr:rowOff>
    </xdr:to>
    <xdr:graphicFrame macro="">
      <xdr:nvGraphicFramePr>
        <xdr:cNvPr id="3" name="Graphique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4750</xdr:colOff>
      <xdr:row>9</xdr:row>
      <xdr:rowOff>64444</xdr:rowOff>
    </xdr:from>
    <xdr:to>
      <xdr:col>7</xdr:col>
      <xdr:colOff>345056</xdr:colOff>
      <xdr:row>24</xdr:row>
      <xdr:rowOff>67488</xdr:rowOff>
    </xdr:to>
    <xdr:graphicFrame macro="">
      <xdr:nvGraphicFramePr>
        <xdr:cNvPr id="3" name="Graphique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1084516</xdr:colOff>
      <xdr:row>12</xdr:row>
      <xdr:rowOff>106352</xdr:rowOff>
    </xdr:from>
    <xdr:to>
      <xdr:col>5</xdr:col>
      <xdr:colOff>135060</xdr:colOff>
      <xdr:row>43</xdr:row>
      <xdr:rowOff>19948</xdr:rowOff>
    </xdr:to>
    <xdr:grpSp>
      <xdr:nvGrpSpPr>
        <xdr:cNvPr id="2" name="Groupe 1">
          <a:extLst>
            <a:ext uri="{FF2B5EF4-FFF2-40B4-BE49-F238E27FC236}">
              <a16:creationId xmlns:a16="http://schemas.microsoft.com/office/drawing/2014/main" id="{00000000-0008-0000-0B00-000002000000}"/>
            </a:ext>
          </a:extLst>
        </xdr:cNvPr>
        <xdr:cNvGrpSpPr/>
      </xdr:nvGrpSpPr>
      <xdr:grpSpPr>
        <a:xfrm>
          <a:off x="1849995" y="2498475"/>
          <a:ext cx="2904038" cy="5576405"/>
          <a:chOff x="4239657" y="1985256"/>
          <a:chExt cx="2855619" cy="5408505"/>
        </a:xfrm>
      </xdr:grpSpPr>
      <xdr:graphicFrame macro="">
        <xdr:nvGraphicFramePr>
          <xdr:cNvPr id="8" name="Graphique 7">
            <a:extLst>
              <a:ext uri="{FF2B5EF4-FFF2-40B4-BE49-F238E27FC236}">
                <a16:creationId xmlns:a16="http://schemas.microsoft.com/office/drawing/2014/main" id="{00000000-0008-0000-0B00-000008000000}"/>
              </a:ext>
            </a:extLst>
          </xdr:cNvPr>
          <xdr:cNvGraphicFramePr>
            <a:graphicFrameLocks/>
          </xdr:cNvGraphicFramePr>
        </xdr:nvGraphicFramePr>
        <xdr:xfrm>
          <a:off x="4239657" y="3778147"/>
          <a:ext cx="2855619" cy="1822723"/>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9" name="Graphique 8">
            <a:extLst>
              <a:ext uri="{FF2B5EF4-FFF2-40B4-BE49-F238E27FC236}">
                <a16:creationId xmlns:a16="http://schemas.microsoft.com/office/drawing/2014/main" id="{00000000-0008-0000-0B00-000009000000}"/>
              </a:ext>
            </a:extLst>
          </xdr:cNvPr>
          <xdr:cNvGraphicFramePr>
            <a:graphicFrameLocks/>
          </xdr:cNvGraphicFramePr>
        </xdr:nvGraphicFramePr>
        <xdr:xfrm>
          <a:off x="4239657" y="5571038"/>
          <a:ext cx="2855619" cy="1822723"/>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aphique 9">
            <a:extLst>
              <a:ext uri="{FF2B5EF4-FFF2-40B4-BE49-F238E27FC236}">
                <a16:creationId xmlns:a16="http://schemas.microsoft.com/office/drawing/2014/main" id="{00000000-0008-0000-0B00-00000A000000}"/>
              </a:ext>
            </a:extLst>
          </xdr:cNvPr>
          <xdr:cNvGraphicFramePr>
            <a:graphicFrameLocks/>
          </xdr:cNvGraphicFramePr>
        </xdr:nvGraphicFramePr>
        <xdr:xfrm>
          <a:off x="4239657" y="1985256"/>
          <a:ext cx="2855619" cy="1822723"/>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142926</xdr:colOff>
      <xdr:row>16</xdr:row>
      <xdr:rowOff>51554</xdr:rowOff>
    </xdr:from>
    <xdr:to>
      <xdr:col>8</xdr:col>
      <xdr:colOff>446544</xdr:colOff>
      <xdr:row>30</xdr:row>
      <xdr:rowOff>127754</xdr:rowOff>
    </xdr:to>
    <xdr:graphicFrame macro="">
      <xdr:nvGraphicFramePr>
        <xdr:cNvPr id="2" name="Graphique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276045</xdr:colOff>
      <xdr:row>6</xdr:row>
      <xdr:rowOff>263106</xdr:rowOff>
    </xdr:from>
    <xdr:to>
      <xdr:col>11</xdr:col>
      <xdr:colOff>293298</xdr:colOff>
      <xdr:row>20</xdr:row>
      <xdr:rowOff>64698</xdr:rowOff>
    </xdr:to>
    <xdr:graphicFrame macro="">
      <xdr:nvGraphicFramePr>
        <xdr:cNvPr id="2" name="Graphique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426315</xdr:colOff>
      <xdr:row>9</xdr:row>
      <xdr:rowOff>86264</xdr:rowOff>
    </xdr:from>
    <xdr:to>
      <xdr:col>20</xdr:col>
      <xdr:colOff>645895</xdr:colOff>
      <xdr:row>44</xdr:row>
      <xdr:rowOff>86966</xdr:rowOff>
    </xdr:to>
    <xdr:grpSp>
      <xdr:nvGrpSpPr>
        <xdr:cNvPr id="2" name="Groupe 1">
          <a:extLst>
            <a:ext uri="{FF2B5EF4-FFF2-40B4-BE49-F238E27FC236}">
              <a16:creationId xmlns:a16="http://schemas.microsoft.com/office/drawing/2014/main" id="{00000000-0008-0000-0E00-000002000000}"/>
            </a:ext>
          </a:extLst>
        </xdr:cNvPr>
        <xdr:cNvGrpSpPr/>
      </xdr:nvGrpSpPr>
      <xdr:grpSpPr>
        <a:xfrm>
          <a:off x="13988101" y="1755407"/>
          <a:ext cx="7159223" cy="6350702"/>
          <a:chOff x="19692875" y="3142480"/>
          <a:chExt cx="6117609" cy="6020148"/>
        </a:xfrm>
      </xdr:grpSpPr>
      <xdr:grpSp>
        <xdr:nvGrpSpPr>
          <xdr:cNvPr id="3" name="Groupe 2">
            <a:extLst>
              <a:ext uri="{FF2B5EF4-FFF2-40B4-BE49-F238E27FC236}">
                <a16:creationId xmlns:a16="http://schemas.microsoft.com/office/drawing/2014/main" id="{00000000-0008-0000-0E00-000003000000}"/>
              </a:ext>
            </a:extLst>
          </xdr:cNvPr>
          <xdr:cNvGrpSpPr/>
        </xdr:nvGrpSpPr>
        <xdr:grpSpPr>
          <a:xfrm>
            <a:off x="19692875" y="3142480"/>
            <a:ext cx="6117609" cy="6020148"/>
            <a:chOff x="22034329" y="554556"/>
            <a:chExt cx="6117609" cy="6020148"/>
          </a:xfrm>
        </xdr:grpSpPr>
        <xdr:graphicFrame macro="">
          <xdr:nvGraphicFramePr>
            <xdr:cNvPr id="6" name="Graphique 5">
              <a:extLst>
                <a:ext uri="{FF2B5EF4-FFF2-40B4-BE49-F238E27FC236}">
                  <a16:creationId xmlns:a16="http://schemas.microsoft.com/office/drawing/2014/main" id="{6A711164-4E08-474F-8677-0962CA51252C}"/>
                </a:ext>
              </a:extLst>
            </xdr:cNvPr>
            <xdr:cNvGraphicFramePr>
              <a:graphicFrameLocks/>
            </xdr:cNvGraphicFramePr>
          </xdr:nvGraphicFramePr>
          <xdr:xfrm>
            <a:off x="22034329" y="554556"/>
            <a:ext cx="6117609" cy="602014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Ellipse 6">
              <a:extLst>
                <a:ext uri="{FF2B5EF4-FFF2-40B4-BE49-F238E27FC236}">
                  <a16:creationId xmlns:a16="http://schemas.microsoft.com/office/drawing/2014/main" id="{F68FD63A-1302-F22D-ECBF-8EE71EB27937}"/>
                </a:ext>
              </a:extLst>
            </xdr:cNvPr>
            <xdr:cNvSpPr/>
          </xdr:nvSpPr>
          <xdr:spPr>
            <a:xfrm>
              <a:off x="25984140" y="777507"/>
              <a:ext cx="2145327" cy="166253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8" name="Ellipse 7">
              <a:extLst>
                <a:ext uri="{FF2B5EF4-FFF2-40B4-BE49-F238E27FC236}">
                  <a16:creationId xmlns:a16="http://schemas.microsoft.com/office/drawing/2014/main" id="{662BB501-18E4-4499-964A-CBFFC30FD931}"/>
                </a:ext>
              </a:extLst>
            </xdr:cNvPr>
            <xdr:cNvSpPr/>
          </xdr:nvSpPr>
          <xdr:spPr>
            <a:xfrm>
              <a:off x="22526606" y="1778688"/>
              <a:ext cx="1979741" cy="1883701"/>
            </a:xfrm>
            <a:prstGeom prst="ellipse">
              <a:avLst/>
            </a:prstGeom>
            <a:no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9" name="Ellipse 8">
              <a:extLst>
                <a:ext uri="{FF2B5EF4-FFF2-40B4-BE49-F238E27FC236}">
                  <a16:creationId xmlns:a16="http://schemas.microsoft.com/office/drawing/2014/main" id="{3DDBFD06-D6CB-4C28-9547-3E9E437CF6B1}"/>
                </a:ext>
              </a:extLst>
            </xdr:cNvPr>
            <xdr:cNvSpPr/>
          </xdr:nvSpPr>
          <xdr:spPr>
            <a:xfrm>
              <a:off x="22346749" y="3931181"/>
              <a:ext cx="2739297" cy="1207698"/>
            </a:xfrm>
            <a:prstGeom prst="ellipse">
              <a:avLst/>
            </a:prstGeom>
            <a:noFill/>
            <a:l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0" name="Ellipse 9">
              <a:extLst>
                <a:ext uri="{FF2B5EF4-FFF2-40B4-BE49-F238E27FC236}">
                  <a16:creationId xmlns:a16="http://schemas.microsoft.com/office/drawing/2014/main" id="{584A519C-1761-4362-BF1F-5CBA21E68755}"/>
                </a:ext>
              </a:extLst>
            </xdr:cNvPr>
            <xdr:cNvSpPr/>
          </xdr:nvSpPr>
          <xdr:spPr>
            <a:xfrm>
              <a:off x="24273726" y="1663666"/>
              <a:ext cx="1994982" cy="1261510"/>
            </a:xfrm>
            <a:prstGeom prst="ellipse">
              <a:avLst/>
            </a:prstGeom>
            <a:noFill/>
            <a:ln>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sp macro="" textlink="">
        <xdr:nvSpPr>
          <xdr:cNvPr id="4" name="Rectangle 3">
            <a:extLst>
              <a:ext uri="{FF2B5EF4-FFF2-40B4-BE49-F238E27FC236}">
                <a16:creationId xmlns:a16="http://schemas.microsoft.com/office/drawing/2014/main" id="{830B1A93-0BD2-30D6-2E9E-955E06A338DF}"/>
              </a:ext>
            </a:extLst>
          </xdr:cNvPr>
          <xdr:cNvSpPr/>
        </xdr:nvSpPr>
        <xdr:spPr>
          <a:xfrm>
            <a:off x="22201304" y="8323264"/>
            <a:ext cx="2193574" cy="232551"/>
          </a:xfrm>
          <a:prstGeom prst="rect">
            <a:avLst/>
          </a:prstGeom>
          <a:noFill/>
          <a:ln w="28575">
            <a:solidFill>
              <a:schemeClr val="accent6">
                <a:lumMod val="75000"/>
              </a:schemeClr>
            </a:solidFill>
            <a:prstDash val="sysDot"/>
          </a:ln>
        </xdr:spPr>
        <xdr:style>
          <a:lnRef idx="2">
            <a:schemeClr val="accent6"/>
          </a:lnRef>
          <a:fillRef idx="1">
            <a:schemeClr val="lt1"/>
          </a:fillRef>
          <a:effectRef idx="0">
            <a:schemeClr val="accent6"/>
          </a:effectRef>
          <a:fontRef idx="minor">
            <a:schemeClr val="dk1"/>
          </a:fontRef>
        </xdr:style>
        <xdr:txBody>
          <a:bodyPr wrap="square"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fr-FR" sz="900"/>
              <a:t>Moyenne : Fonction</a:t>
            </a:r>
            <a:r>
              <a:rPr lang="fr-FR" sz="900" baseline="0"/>
              <a:t> publique territoriale</a:t>
            </a:r>
          </a:p>
          <a:p>
            <a:pPr algn="ctr"/>
            <a:endParaRPr lang="fr-FR"/>
          </a:p>
        </xdr:txBody>
      </xdr:sp>
      <xdr:sp macro="" textlink="">
        <xdr:nvSpPr>
          <xdr:cNvPr id="5" name="Rectangle 4">
            <a:extLst>
              <a:ext uri="{FF2B5EF4-FFF2-40B4-BE49-F238E27FC236}">
                <a16:creationId xmlns:a16="http://schemas.microsoft.com/office/drawing/2014/main" id="{C47EFF1B-E3E0-324B-3558-42E43CB89E29}"/>
              </a:ext>
            </a:extLst>
          </xdr:cNvPr>
          <xdr:cNvSpPr/>
        </xdr:nvSpPr>
        <xdr:spPr>
          <a:xfrm>
            <a:off x="24419265" y="5423332"/>
            <a:ext cx="1148469" cy="187330"/>
          </a:xfrm>
          <a:prstGeom prst="rect">
            <a:avLst/>
          </a:prstGeom>
          <a:noFill/>
          <a:ln w="28575">
            <a:solidFill>
              <a:schemeClr val="accent2"/>
            </a:solidFill>
            <a:prstDash val="sysDot"/>
          </a:ln>
        </xdr:spPr>
        <xdr:style>
          <a:lnRef idx="2">
            <a:schemeClr val="accent6"/>
          </a:lnRef>
          <a:fillRef idx="1">
            <a:schemeClr val="lt1"/>
          </a:fillRef>
          <a:effectRef idx="0">
            <a:schemeClr val="accent6"/>
          </a:effectRef>
          <a:fontRef idx="minor">
            <a:schemeClr val="dk1"/>
          </a:fontRef>
        </xdr:style>
        <xdr:txBody>
          <a:bodyPr wrap="square"/>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fr-FR" sz="900"/>
              <a:t>Moyenne : secteur privé</a:t>
            </a:r>
            <a:endParaRPr lang="fr-FR"/>
          </a:p>
        </xdr:txBody>
      </xdr:sp>
    </xdr:grpSp>
    <xdr:clientData/>
  </xdr:twoCellAnchor>
</xdr:wsDr>
</file>

<file path=xl/drawings/drawing16.xml><?xml version="1.0" encoding="utf-8"?>
<c:userShapes xmlns:c="http://schemas.openxmlformats.org/drawingml/2006/chart">
  <cdr:relSizeAnchor xmlns:cdr="http://schemas.openxmlformats.org/drawingml/2006/chartDrawing">
    <cdr:from>
      <cdr:x>0.08181</cdr:x>
      <cdr:y>0.0199</cdr:y>
    </cdr:from>
    <cdr:to>
      <cdr:x>0.97037</cdr:x>
      <cdr:y>0.90675</cdr:y>
    </cdr:to>
    <cdr:cxnSp macro="">
      <cdr:nvCxnSpPr>
        <cdr:cNvPr id="3" name="Connecteur droit 2">
          <a:extLst xmlns:a="http://schemas.openxmlformats.org/drawingml/2006/main">
            <a:ext uri="{FF2B5EF4-FFF2-40B4-BE49-F238E27FC236}">
              <a16:creationId xmlns:a16="http://schemas.microsoft.com/office/drawing/2014/main" id="{870D7AD7-DC2C-374D-A7BF-76FBA48152F4}"/>
            </a:ext>
          </a:extLst>
        </cdr:cNvPr>
        <cdr:cNvCxnSpPr/>
      </cdr:nvCxnSpPr>
      <cdr:spPr>
        <a:xfrm xmlns:a="http://schemas.openxmlformats.org/drawingml/2006/main" flipV="1">
          <a:off x="578408" y="126859"/>
          <a:ext cx="6282060" cy="5652839"/>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0.39474</cdr:x>
      <cdr:y>0.0199</cdr:y>
    </cdr:from>
    <cdr:to>
      <cdr:x>0.39618</cdr:x>
      <cdr:y>0.90993</cdr:y>
    </cdr:to>
    <cdr:cxnSp macro="">
      <cdr:nvCxnSpPr>
        <cdr:cNvPr id="6" name="Connecteur droit 5">
          <a:extLst xmlns:a="http://schemas.openxmlformats.org/drawingml/2006/main">
            <a:ext uri="{FF2B5EF4-FFF2-40B4-BE49-F238E27FC236}">
              <a16:creationId xmlns:a16="http://schemas.microsoft.com/office/drawing/2014/main" id="{9C923570-BD1C-5280-0F5C-52516E0D3538}"/>
            </a:ext>
          </a:extLst>
        </cdr:cNvPr>
        <cdr:cNvCxnSpPr/>
      </cdr:nvCxnSpPr>
      <cdr:spPr>
        <a:xfrm xmlns:a="http://schemas.openxmlformats.org/drawingml/2006/main" flipH="1" flipV="1">
          <a:off x="2790831" y="126860"/>
          <a:ext cx="10148" cy="5673136"/>
        </a:xfrm>
        <a:prstGeom xmlns:a="http://schemas.openxmlformats.org/drawingml/2006/main" prst="line">
          <a:avLst/>
        </a:prstGeom>
        <a:ln xmlns:a="http://schemas.openxmlformats.org/drawingml/2006/main" w="28575">
          <a:solidFill>
            <a:schemeClr val="accent6">
              <a:lumMod val="50000"/>
            </a:schemeClr>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0.07033</cdr:x>
      <cdr:y>0.41954</cdr:y>
    </cdr:from>
    <cdr:to>
      <cdr:x>0.96979</cdr:x>
      <cdr:y>0.41964</cdr:y>
    </cdr:to>
    <cdr:cxnSp macro="">
      <cdr:nvCxnSpPr>
        <cdr:cNvPr id="9" name="Connecteur droit 8">
          <a:extLst xmlns:a="http://schemas.openxmlformats.org/drawingml/2006/main">
            <a:ext uri="{FF2B5EF4-FFF2-40B4-BE49-F238E27FC236}">
              <a16:creationId xmlns:a16="http://schemas.microsoft.com/office/drawing/2014/main" id="{D542395B-DBCA-BABA-5F1F-EBBA1414F09B}"/>
            </a:ext>
          </a:extLst>
        </cdr:cNvPr>
        <cdr:cNvCxnSpPr>
          <a:cxnSpLocks xmlns:a="http://schemas.openxmlformats.org/drawingml/2006/main"/>
        </cdr:cNvCxnSpPr>
      </cdr:nvCxnSpPr>
      <cdr:spPr>
        <a:xfrm xmlns:a="http://schemas.openxmlformats.org/drawingml/2006/main">
          <a:off x="497219" y="2674189"/>
          <a:ext cx="6359172" cy="642"/>
        </a:xfrm>
        <a:prstGeom xmlns:a="http://schemas.openxmlformats.org/drawingml/2006/main" prst="line">
          <a:avLst/>
        </a:prstGeom>
        <a:ln xmlns:a="http://schemas.openxmlformats.org/drawingml/2006/main" w="28575">
          <a:solidFill>
            <a:schemeClr val="accent2"/>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17.xml><?xml version="1.0" encoding="utf-8"?>
<xdr:wsDr xmlns:xdr="http://schemas.openxmlformats.org/drawingml/2006/spreadsheetDrawing" xmlns:a="http://schemas.openxmlformats.org/drawingml/2006/main">
  <xdr:twoCellAnchor>
    <xdr:from>
      <xdr:col>11</xdr:col>
      <xdr:colOff>284671</xdr:colOff>
      <xdr:row>6</xdr:row>
      <xdr:rowOff>85832</xdr:rowOff>
    </xdr:from>
    <xdr:to>
      <xdr:col>18</xdr:col>
      <xdr:colOff>69730</xdr:colOff>
      <xdr:row>37</xdr:row>
      <xdr:rowOff>0</xdr:rowOff>
    </xdr:to>
    <xdr:grpSp>
      <xdr:nvGrpSpPr>
        <xdr:cNvPr id="2" name="Groupe 1">
          <a:extLst>
            <a:ext uri="{FF2B5EF4-FFF2-40B4-BE49-F238E27FC236}">
              <a16:creationId xmlns:a16="http://schemas.microsoft.com/office/drawing/2014/main" id="{00000000-0008-0000-0F00-000002000000}"/>
            </a:ext>
          </a:extLst>
        </xdr:cNvPr>
        <xdr:cNvGrpSpPr/>
      </xdr:nvGrpSpPr>
      <xdr:grpSpPr>
        <a:xfrm>
          <a:off x="10885436" y="1213891"/>
          <a:ext cx="5171353" cy="5718815"/>
          <a:chOff x="10922949" y="1393929"/>
          <a:chExt cx="4799673" cy="4582954"/>
        </a:xfrm>
      </xdr:grpSpPr>
      <xdr:graphicFrame macro="">
        <xdr:nvGraphicFramePr>
          <xdr:cNvPr id="3" name="Graphique 2">
            <a:extLst>
              <a:ext uri="{FF2B5EF4-FFF2-40B4-BE49-F238E27FC236}">
                <a16:creationId xmlns:a16="http://schemas.microsoft.com/office/drawing/2014/main" id="{59B0811A-B84F-9D60-DC81-0442DA5D0CEA}"/>
              </a:ext>
            </a:extLst>
          </xdr:cNvPr>
          <xdr:cNvGraphicFramePr>
            <a:graphicFrameLocks/>
          </xdr:cNvGraphicFramePr>
        </xdr:nvGraphicFramePr>
        <xdr:xfrm>
          <a:off x="10922949" y="1393929"/>
          <a:ext cx="4799673" cy="4582954"/>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Connecteur droit 3">
            <a:extLst>
              <a:ext uri="{FF2B5EF4-FFF2-40B4-BE49-F238E27FC236}">
                <a16:creationId xmlns:a16="http://schemas.microsoft.com/office/drawing/2014/main" id="{04C8329E-76A6-A284-9170-6A2FE12129D8}"/>
              </a:ext>
            </a:extLst>
          </xdr:cNvPr>
          <xdr:cNvCxnSpPr/>
        </xdr:nvCxnSpPr>
        <xdr:spPr>
          <a:xfrm flipH="1" flipV="1">
            <a:off x="13693026" y="1514664"/>
            <a:ext cx="7005" cy="3888417"/>
          </a:xfrm>
          <a:prstGeom prst="line">
            <a:avLst/>
          </a:prstGeom>
          <a:ln w="28575">
            <a:solidFill>
              <a:schemeClr val="accent6">
                <a:lumMod val="50000"/>
              </a:schemeClr>
            </a:solidFill>
            <a:prstDash val="sysDot"/>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drawings/drawing18.xml><?xml version="1.0" encoding="utf-8"?>
<c:userShapes xmlns:c="http://schemas.openxmlformats.org/drawingml/2006/chart">
  <cdr:relSizeAnchor xmlns:cdr="http://schemas.openxmlformats.org/drawingml/2006/chartDrawing">
    <cdr:from>
      <cdr:x>0.11768</cdr:x>
      <cdr:y>0.40142</cdr:y>
    </cdr:from>
    <cdr:to>
      <cdr:x>0.95676</cdr:x>
      <cdr:y>0.40214</cdr:y>
    </cdr:to>
    <cdr:cxnSp macro="">
      <cdr:nvCxnSpPr>
        <cdr:cNvPr id="3" name="Connecteur droit 2">
          <a:extLst xmlns:a="http://schemas.openxmlformats.org/drawingml/2006/main">
            <a:ext uri="{FF2B5EF4-FFF2-40B4-BE49-F238E27FC236}">
              <a16:creationId xmlns:a16="http://schemas.microsoft.com/office/drawing/2014/main" id="{99E5C434-C0C7-1DA4-73AE-26FC2378DF9A}"/>
            </a:ext>
          </a:extLst>
        </cdr:cNvPr>
        <cdr:cNvCxnSpPr/>
      </cdr:nvCxnSpPr>
      <cdr:spPr>
        <a:xfrm xmlns:a="http://schemas.openxmlformats.org/drawingml/2006/main" flipV="1">
          <a:off x="597877" y="2040572"/>
          <a:ext cx="4262799" cy="3657"/>
        </a:xfrm>
        <a:prstGeom xmlns:a="http://schemas.openxmlformats.org/drawingml/2006/main" prst="line">
          <a:avLst/>
        </a:prstGeom>
        <a:ln xmlns:a="http://schemas.openxmlformats.org/drawingml/2006/main" w="28575">
          <a:solidFill>
            <a:schemeClr val="accent2"/>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0.11768</cdr:x>
      <cdr:y>0.02632</cdr:y>
    </cdr:from>
    <cdr:to>
      <cdr:x>0.95754</cdr:x>
      <cdr:y>0.88526</cdr:y>
    </cdr:to>
    <cdr:cxnSp macro="">
      <cdr:nvCxnSpPr>
        <cdr:cNvPr id="5" name="Connecteur droit 4">
          <a:extLst xmlns:a="http://schemas.openxmlformats.org/drawingml/2006/main">
            <a:ext uri="{FF2B5EF4-FFF2-40B4-BE49-F238E27FC236}">
              <a16:creationId xmlns:a16="http://schemas.microsoft.com/office/drawing/2014/main" id="{8E49EE8E-73F6-D710-F023-F5EC574E71DD}"/>
            </a:ext>
          </a:extLst>
        </cdr:cNvPr>
        <cdr:cNvCxnSpPr/>
      </cdr:nvCxnSpPr>
      <cdr:spPr>
        <a:xfrm xmlns:a="http://schemas.openxmlformats.org/drawingml/2006/main" flipV="1">
          <a:off x="597877" y="133810"/>
          <a:ext cx="4266758" cy="4366295"/>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0.13834</cdr:x>
      <cdr:y>0.34424</cdr:y>
    </cdr:from>
    <cdr:to>
      <cdr:x>0.40265</cdr:x>
      <cdr:y>0.3877</cdr:y>
    </cdr:to>
    <cdr:sp macro="" textlink="">
      <cdr:nvSpPr>
        <cdr:cNvPr id="9" name="Rectangle 8">
          <a:extLst xmlns:a="http://schemas.openxmlformats.org/drawingml/2006/main">
            <a:ext uri="{FF2B5EF4-FFF2-40B4-BE49-F238E27FC236}">
              <a16:creationId xmlns:a16="http://schemas.microsoft.com/office/drawing/2014/main" id="{C47EFF1B-E3E0-324B-3558-42E43CB89E29}"/>
            </a:ext>
          </a:extLst>
        </cdr:cNvPr>
        <cdr:cNvSpPr/>
      </cdr:nvSpPr>
      <cdr:spPr>
        <a:xfrm xmlns:a="http://schemas.openxmlformats.org/drawingml/2006/main">
          <a:off x="705373" y="1731377"/>
          <a:ext cx="1347713" cy="218625"/>
        </a:xfrm>
        <a:prstGeom xmlns:a="http://schemas.openxmlformats.org/drawingml/2006/main" prst="rect">
          <a:avLst/>
        </a:prstGeom>
        <a:noFill xmlns:a="http://schemas.openxmlformats.org/drawingml/2006/main"/>
        <a:ln xmlns:a="http://schemas.openxmlformats.org/drawingml/2006/main" w="28575">
          <a:solidFill>
            <a:schemeClr val="accent2"/>
          </a:solidFill>
          <a:prstDash val="sysDot"/>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wrap="square"/>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a:t>Moyenne :</a:t>
          </a:r>
          <a:r>
            <a:rPr lang="fr-FR" sz="900" baseline="0"/>
            <a:t> secteur privé</a:t>
          </a:r>
        </a:p>
        <a:p xmlns:a="http://schemas.openxmlformats.org/drawingml/2006/main">
          <a:endParaRPr lang="fr-FR"/>
        </a:p>
      </cdr:txBody>
    </cdr:sp>
  </cdr:relSizeAnchor>
  <cdr:relSizeAnchor xmlns:cdr="http://schemas.openxmlformats.org/drawingml/2006/chartDrawing">
    <cdr:from>
      <cdr:x>0.46221</cdr:x>
      <cdr:y>0.82894</cdr:y>
    </cdr:from>
    <cdr:to>
      <cdr:x>0.88157</cdr:x>
      <cdr:y>0.87158</cdr:y>
    </cdr:to>
    <cdr:sp macro="" textlink="">
      <cdr:nvSpPr>
        <cdr:cNvPr id="10" name="Rectangle 9">
          <a:extLst xmlns:a="http://schemas.openxmlformats.org/drawingml/2006/main">
            <a:ext uri="{FF2B5EF4-FFF2-40B4-BE49-F238E27FC236}">
              <a16:creationId xmlns:a16="http://schemas.microsoft.com/office/drawing/2014/main" id="{830B1A93-0BD2-30D6-2E9E-955E06A338DF}"/>
            </a:ext>
          </a:extLst>
        </cdr:cNvPr>
        <cdr:cNvSpPr/>
      </cdr:nvSpPr>
      <cdr:spPr>
        <a:xfrm xmlns:a="http://schemas.openxmlformats.org/drawingml/2006/main">
          <a:off x="2356793" y="4169243"/>
          <a:ext cx="2138288" cy="214467"/>
        </a:xfrm>
        <a:prstGeom xmlns:a="http://schemas.openxmlformats.org/drawingml/2006/main" prst="rect">
          <a:avLst/>
        </a:prstGeom>
        <a:noFill xmlns:a="http://schemas.openxmlformats.org/drawingml/2006/main"/>
        <a:ln xmlns:a="http://schemas.openxmlformats.org/drawingml/2006/main" w="28575">
          <a:prstDash val="sysDot"/>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wrap="square"/>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baseline="0"/>
            <a:t>Moyenne : fonction publique hospitalière</a:t>
          </a:r>
        </a:p>
        <a:p xmlns:a="http://schemas.openxmlformats.org/drawingml/2006/main">
          <a:endParaRPr lang="fr-F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663224</xdr:colOff>
      <xdr:row>32</xdr:row>
      <xdr:rowOff>36970</xdr:rowOff>
    </xdr:from>
    <xdr:to>
      <xdr:col>7</xdr:col>
      <xdr:colOff>569343</xdr:colOff>
      <xdr:row>51</xdr:row>
      <xdr:rowOff>5600</xdr:rowOff>
    </xdr:to>
    <xdr:graphicFrame macro="">
      <xdr:nvGraphicFramePr>
        <xdr:cNvPr id="2" name="Graphique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172528</xdr:colOff>
      <xdr:row>8</xdr:row>
      <xdr:rowOff>94105</xdr:rowOff>
    </xdr:from>
    <xdr:to>
      <xdr:col>10</xdr:col>
      <xdr:colOff>47053</xdr:colOff>
      <xdr:row>24</xdr:row>
      <xdr:rowOff>109790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364339</xdr:colOff>
      <xdr:row>12</xdr:row>
      <xdr:rowOff>172529</xdr:rowOff>
    </xdr:from>
    <xdr:to>
      <xdr:col>9</xdr:col>
      <xdr:colOff>101487</xdr:colOff>
      <xdr:row>26</xdr:row>
      <xdr:rowOff>94238</xdr:rowOff>
    </xdr:to>
    <xdr:graphicFrame macro="">
      <xdr:nvGraphicFramePr>
        <xdr:cNvPr id="2" name="Graphique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xdr:colOff>
      <xdr:row>14</xdr:row>
      <xdr:rowOff>159588</xdr:rowOff>
    </xdr:from>
    <xdr:to>
      <xdr:col>7</xdr:col>
      <xdr:colOff>660092</xdr:colOff>
      <xdr:row>36</xdr:row>
      <xdr:rowOff>172529</xdr:rowOff>
    </xdr:to>
    <xdr:grpSp>
      <xdr:nvGrpSpPr>
        <xdr:cNvPr id="2" name="Groupe 1">
          <a:extLst>
            <a:ext uri="{FF2B5EF4-FFF2-40B4-BE49-F238E27FC236}">
              <a16:creationId xmlns:a16="http://schemas.microsoft.com/office/drawing/2014/main" id="{00000000-0008-0000-1200-000002000000}"/>
            </a:ext>
          </a:extLst>
        </xdr:cNvPr>
        <xdr:cNvGrpSpPr/>
      </xdr:nvGrpSpPr>
      <xdr:grpSpPr>
        <a:xfrm>
          <a:off x="1524001" y="2754017"/>
          <a:ext cx="4470091" cy="4004369"/>
          <a:chOff x="3019246" y="2022894"/>
          <a:chExt cx="4680000" cy="3546850"/>
        </a:xfrm>
      </xdr:grpSpPr>
      <xdr:graphicFrame macro="">
        <xdr:nvGraphicFramePr>
          <xdr:cNvPr id="3" name="Graphique 2">
            <a:extLst>
              <a:ext uri="{FF2B5EF4-FFF2-40B4-BE49-F238E27FC236}">
                <a16:creationId xmlns:a16="http://schemas.microsoft.com/office/drawing/2014/main" id="{00000000-0008-0000-1200-000003000000}"/>
              </a:ext>
            </a:extLst>
          </xdr:cNvPr>
          <xdr:cNvGraphicFramePr/>
        </xdr:nvGraphicFramePr>
        <xdr:xfrm>
          <a:off x="3019246" y="2022894"/>
          <a:ext cx="4680000" cy="1800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a:extLst>
              <a:ext uri="{FF2B5EF4-FFF2-40B4-BE49-F238E27FC236}">
                <a16:creationId xmlns:a16="http://schemas.microsoft.com/office/drawing/2014/main" id="{00000000-0008-0000-1200-000004000000}"/>
              </a:ext>
            </a:extLst>
          </xdr:cNvPr>
          <xdr:cNvGraphicFramePr>
            <a:graphicFrameLocks/>
          </xdr:cNvGraphicFramePr>
        </xdr:nvGraphicFramePr>
        <xdr:xfrm>
          <a:off x="3019246" y="3769744"/>
          <a:ext cx="4680000" cy="18000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314245</xdr:colOff>
      <xdr:row>7</xdr:row>
      <xdr:rowOff>269840</xdr:rowOff>
    </xdr:from>
    <xdr:to>
      <xdr:col>11</xdr:col>
      <xdr:colOff>187317</xdr:colOff>
      <xdr:row>17</xdr:row>
      <xdr:rowOff>166367</xdr:rowOff>
    </xdr:to>
    <xdr:graphicFrame macro="">
      <xdr:nvGraphicFramePr>
        <xdr:cNvPr id="2" name="Graphique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736940</xdr:colOff>
      <xdr:row>10</xdr:row>
      <xdr:rowOff>107212</xdr:rowOff>
    </xdr:from>
    <xdr:to>
      <xdr:col>7</xdr:col>
      <xdr:colOff>754194</xdr:colOff>
      <xdr:row>25</xdr:row>
      <xdr:rowOff>136789</xdr:rowOff>
    </xdr:to>
    <xdr:graphicFrame macro="">
      <xdr:nvGraphicFramePr>
        <xdr:cNvPr id="2" name="Graphique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0.2815</cdr:x>
      <cdr:y>0.61667</cdr:y>
    </cdr:from>
    <cdr:to>
      <cdr:x>0.39057</cdr:x>
      <cdr:y>0.69524</cdr:y>
    </cdr:to>
    <cdr:sp macro="" textlink="">
      <cdr:nvSpPr>
        <cdr:cNvPr id="2" name="ZoneTexte 1"/>
        <cdr:cNvSpPr txBox="1"/>
      </cdr:nvSpPr>
      <cdr:spPr>
        <a:xfrm xmlns:a="http://schemas.openxmlformats.org/drawingml/2006/main">
          <a:off x="1819275" y="2466975"/>
          <a:ext cx="7048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bac</a:t>
          </a:r>
        </a:p>
      </cdr:txBody>
    </cdr:sp>
  </cdr:relSizeAnchor>
  <cdr:relSizeAnchor xmlns:cdr="http://schemas.openxmlformats.org/drawingml/2006/chartDrawing">
    <cdr:from>
      <cdr:x>0.3833</cdr:x>
      <cdr:y>0.78194</cdr:y>
    </cdr:from>
    <cdr:to>
      <cdr:x>0.52626</cdr:x>
      <cdr:y>0.83432</cdr:y>
    </cdr:to>
    <cdr:sp macro="" textlink="">
      <cdr:nvSpPr>
        <cdr:cNvPr id="4" name="ZoneTexte 3"/>
        <cdr:cNvSpPr txBox="1"/>
      </cdr:nvSpPr>
      <cdr:spPr>
        <a:xfrm xmlns:a="http://schemas.openxmlformats.org/drawingml/2006/main">
          <a:off x="1971874" y="2366995"/>
          <a:ext cx="735455" cy="1585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bac+2</a:t>
          </a:r>
        </a:p>
      </cdr:txBody>
    </cdr:sp>
  </cdr:relSizeAnchor>
  <cdr:relSizeAnchor xmlns:cdr="http://schemas.openxmlformats.org/drawingml/2006/chartDrawing">
    <cdr:from>
      <cdr:x>0.51437</cdr:x>
      <cdr:y>0.79048</cdr:y>
    </cdr:from>
    <cdr:to>
      <cdr:x>0.62638</cdr:x>
      <cdr:y>0.83571</cdr:y>
    </cdr:to>
    <cdr:sp macro="" textlink="">
      <cdr:nvSpPr>
        <cdr:cNvPr id="5" name="ZoneTexte 4"/>
        <cdr:cNvSpPr txBox="1"/>
      </cdr:nvSpPr>
      <cdr:spPr>
        <a:xfrm xmlns:a="http://schemas.openxmlformats.org/drawingml/2006/main">
          <a:off x="3324225" y="3162300"/>
          <a:ext cx="7239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bac+3</a:t>
          </a:r>
        </a:p>
      </cdr:txBody>
    </cdr:sp>
  </cdr:relSizeAnchor>
  <cdr:relSizeAnchor xmlns:cdr="http://schemas.openxmlformats.org/drawingml/2006/chartDrawing">
    <cdr:from>
      <cdr:x>0.75461</cdr:x>
      <cdr:y>0.74762</cdr:y>
    </cdr:from>
    <cdr:to>
      <cdr:x>0.87841</cdr:x>
      <cdr:y>0.80952</cdr:y>
    </cdr:to>
    <cdr:sp macro="" textlink="">
      <cdr:nvSpPr>
        <cdr:cNvPr id="6" name="ZoneTexte 5"/>
        <cdr:cNvSpPr txBox="1"/>
      </cdr:nvSpPr>
      <cdr:spPr>
        <a:xfrm xmlns:a="http://schemas.openxmlformats.org/drawingml/2006/main">
          <a:off x="4876800" y="2990850"/>
          <a:ext cx="80010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bac+4/5</a:t>
          </a:r>
        </a:p>
      </cdr:txBody>
    </cdr:sp>
  </cdr:relSizeAnchor>
  <cdr:relSizeAnchor xmlns:cdr="http://schemas.openxmlformats.org/drawingml/2006/chartDrawing">
    <cdr:from>
      <cdr:x>0.89757</cdr:x>
      <cdr:y>0.78095</cdr:y>
    </cdr:from>
    <cdr:to>
      <cdr:x>0.99042</cdr:x>
      <cdr:y>0.84524</cdr:y>
    </cdr:to>
    <cdr:sp macro="" textlink="">
      <cdr:nvSpPr>
        <cdr:cNvPr id="7" name="ZoneTexte 6"/>
        <cdr:cNvSpPr txBox="1"/>
      </cdr:nvSpPr>
      <cdr:spPr>
        <a:xfrm xmlns:a="http://schemas.openxmlformats.org/drawingml/2006/main">
          <a:off x="5800725" y="3124200"/>
          <a:ext cx="60007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bac +5</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386545</xdr:colOff>
      <xdr:row>48</xdr:row>
      <xdr:rowOff>138745</xdr:rowOff>
    </xdr:from>
    <xdr:to>
      <xdr:col>11</xdr:col>
      <xdr:colOff>323490</xdr:colOff>
      <xdr:row>81</xdr:row>
      <xdr:rowOff>62738</xdr:rowOff>
    </xdr:to>
    <xdr:grpSp>
      <xdr:nvGrpSpPr>
        <xdr:cNvPr id="2" name="Groupe 1">
          <a:extLst>
            <a:ext uri="{FF2B5EF4-FFF2-40B4-BE49-F238E27FC236}">
              <a16:creationId xmlns:a16="http://schemas.microsoft.com/office/drawing/2014/main" id="{00000000-0008-0000-0300-000002000000}"/>
            </a:ext>
          </a:extLst>
        </xdr:cNvPr>
        <xdr:cNvGrpSpPr/>
      </xdr:nvGrpSpPr>
      <xdr:grpSpPr>
        <a:xfrm>
          <a:off x="1148545" y="9163216"/>
          <a:ext cx="9312533" cy="6087228"/>
          <a:chOff x="3145363" y="10929606"/>
          <a:chExt cx="11452253" cy="5723082"/>
        </a:xfrm>
      </xdr:grpSpPr>
      <xdr:grpSp>
        <xdr:nvGrpSpPr>
          <xdr:cNvPr id="3" name="Groupe 2">
            <a:extLst>
              <a:ext uri="{FF2B5EF4-FFF2-40B4-BE49-F238E27FC236}">
                <a16:creationId xmlns:a16="http://schemas.microsoft.com/office/drawing/2014/main" id="{00000000-0008-0000-0300-000003000000}"/>
              </a:ext>
            </a:extLst>
          </xdr:cNvPr>
          <xdr:cNvGrpSpPr/>
        </xdr:nvGrpSpPr>
        <xdr:grpSpPr>
          <a:xfrm>
            <a:off x="3145363" y="10929606"/>
            <a:ext cx="11452253" cy="5723082"/>
            <a:chOff x="-4756315" y="11023669"/>
            <a:chExt cx="11461852" cy="5700196"/>
          </a:xfrm>
        </xdr:grpSpPr>
        <xdr:graphicFrame macro="">
          <xdr:nvGraphicFramePr>
            <xdr:cNvPr id="5" name="Graphique 4">
              <a:extLst>
                <a:ext uri="{FF2B5EF4-FFF2-40B4-BE49-F238E27FC236}">
                  <a16:creationId xmlns:a16="http://schemas.microsoft.com/office/drawing/2014/main" id="{00000000-0008-0000-0300-000005000000}"/>
                </a:ext>
              </a:extLst>
            </xdr:cNvPr>
            <xdr:cNvGraphicFramePr>
              <a:graphicFrameLocks/>
            </xdr:cNvGraphicFramePr>
          </xdr:nvGraphicFramePr>
          <xdr:xfrm>
            <a:off x="-4756315" y="11023669"/>
            <a:ext cx="5742062" cy="2868483"/>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6" name="Graphique 5">
              <a:extLst>
                <a:ext uri="{FF2B5EF4-FFF2-40B4-BE49-F238E27FC236}">
                  <a16:creationId xmlns:a16="http://schemas.microsoft.com/office/drawing/2014/main" id="{00000000-0008-0000-0300-000006000000}"/>
                </a:ext>
              </a:extLst>
            </xdr:cNvPr>
            <xdr:cNvGraphicFramePr>
              <a:graphicFrameLocks/>
            </xdr:cNvGraphicFramePr>
          </xdr:nvGraphicFramePr>
          <xdr:xfrm>
            <a:off x="963475" y="11023669"/>
            <a:ext cx="5742062" cy="2868483"/>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7" name="Graphique 6">
              <a:extLst>
                <a:ext uri="{FF2B5EF4-FFF2-40B4-BE49-F238E27FC236}">
                  <a16:creationId xmlns:a16="http://schemas.microsoft.com/office/drawing/2014/main" id="{00000000-0008-0000-0300-000007000000}"/>
                </a:ext>
              </a:extLst>
            </xdr:cNvPr>
            <xdr:cNvGraphicFramePr>
              <a:graphicFrameLocks/>
            </xdr:cNvGraphicFramePr>
          </xdr:nvGraphicFramePr>
          <xdr:xfrm>
            <a:off x="963475" y="13855382"/>
            <a:ext cx="5742062" cy="2868483"/>
          </xdr:xfrm>
          <a:graphic>
            <a:graphicData uri="http://schemas.openxmlformats.org/drawingml/2006/chart">
              <c:chart xmlns:c="http://schemas.openxmlformats.org/drawingml/2006/chart" xmlns:r="http://schemas.openxmlformats.org/officeDocument/2006/relationships" r:id="rId3"/>
            </a:graphicData>
          </a:graphic>
        </xdr:graphicFrame>
      </xdr:grpSp>
      <xdr:graphicFrame macro="">
        <xdr:nvGraphicFramePr>
          <xdr:cNvPr id="4" name="Graphique 3">
            <a:extLst>
              <a:ext uri="{FF2B5EF4-FFF2-40B4-BE49-F238E27FC236}">
                <a16:creationId xmlns:a16="http://schemas.microsoft.com/office/drawing/2014/main" id="{00000000-0008-0000-0300-000004000000}"/>
              </a:ext>
            </a:extLst>
          </xdr:cNvPr>
          <xdr:cNvGraphicFramePr>
            <a:graphicFrameLocks/>
          </xdr:cNvGraphicFramePr>
        </xdr:nvGraphicFramePr>
        <xdr:xfrm>
          <a:off x="3145363" y="13772688"/>
          <a:ext cx="5737253" cy="28800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5</xdr:row>
      <xdr:rowOff>171120</xdr:rowOff>
    </xdr:from>
    <xdr:ext cx="3979348" cy="2069639"/>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1076894"/>
          <a:ext cx="3979348" cy="2069639"/>
        </a:xfrm>
        <a:prstGeom prst="rect">
          <a:avLst/>
        </a:prstGeom>
      </xdr:spPr>
    </xdr:pic>
    <xdr:clientData/>
  </xdr:oneCellAnchor>
  <xdr:oneCellAnchor>
    <xdr:from>
      <xdr:col>5</xdr:col>
      <xdr:colOff>79342</xdr:colOff>
      <xdr:row>6</xdr:row>
      <xdr:rowOff>12987</xdr:rowOff>
    </xdr:from>
    <xdr:ext cx="4399767" cy="2016203"/>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874965" y="1099915"/>
          <a:ext cx="4399767" cy="201620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3</xdr:col>
      <xdr:colOff>508959</xdr:colOff>
      <xdr:row>23</xdr:row>
      <xdr:rowOff>171258</xdr:rowOff>
    </xdr:from>
    <xdr:to>
      <xdr:col>8</xdr:col>
      <xdr:colOff>839576</xdr:colOff>
      <xdr:row>39</xdr:row>
      <xdr:rowOff>141066</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1562904</xdr:colOff>
      <xdr:row>20</xdr:row>
      <xdr:rowOff>108337</xdr:rowOff>
    </xdr:from>
    <xdr:to>
      <xdr:col>8</xdr:col>
      <xdr:colOff>111637</xdr:colOff>
      <xdr:row>35</xdr:row>
      <xdr:rowOff>124068</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759122</xdr:colOff>
      <xdr:row>22</xdr:row>
      <xdr:rowOff>125700</xdr:rowOff>
    </xdr:from>
    <xdr:to>
      <xdr:col>8</xdr:col>
      <xdr:colOff>595223</xdr:colOff>
      <xdr:row>36</xdr:row>
      <xdr:rowOff>50743</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143465</xdr:colOff>
      <xdr:row>30</xdr:row>
      <xdr:rowOff>154611</xdr:rowOff>
    </xdr:from>
    <xdr:to>
      <xdr:col>4</xdr:col>
      <xdr:colOff>667969</xdr:colOff>
      <xdr:row>45</xdr:row>
      <xdr:rowOff>42598</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xdestannedebernis/AppData/Local/Microsoft/Windows/INetCache/Content.Outlook/HHIGMXRG/donnees_fap_BMO2024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ees"/>
      <sheetName val="secteur privé"/>
      <sheetName val="territoriale"/>
      <sheetName val="hospitaliere graph"/>
      <sheetName val="territoriale_graph"/>
    </sheetNames>
    <sheetDataSet>
      <sheetData sheetId="0"/>
      <sheetData sheetId="1">
        <row r="1">
          <cell r="A1" t="str">
            <v>fap</v>
          </cell>
          <cell r="B1" t="str">
            <v>champ</v>
          </cell>
          <cell r="C1" t="str">
            <v>nombre répondants</v>
          </cell>
          <cell r="D1" t="str">
            <v>recrut</v>
          </cell>
          <cell r="E1" t="str">
            <v>dif</v>
          </cell>
          <cell r="F1" t="str">
            <v>pdif</v>
          </cell>
          <cell r="G1" t="str">
            <v>Intitulé FAP228</v>
          </cell>
          <cell r="H1" t="str">
            <v>libfap</v>
          </cell>
        </row>
        <row r="2">
          <cell r="A2" t="str">
            <v>A0X40</v>
          </cell>
          <cell r="B2" t="str">
            <v>4 SECTEUR PRIVE</v>
          </cell>
          <cell r="C2">
            <v>4065</v>
          </cell>
          <cell r="D2">
            <v>90893.539892999994</v>
          </cell>
          <cell r="E2">
            <v>49673.2</v>
          </cell>
          <cell r="F2">
            <v>54.65</v>
          </cell>
          <cell r="G2" t="str">
            <v>Agriculteurs</v>
          </cell>
          <cell r="H2" t="str">
            <v>A0X40 Agriculteurs</v>
          </cell>
        </row>
        <row r="3">
          <cell r="A3" t="str">
            <v>A0X41</v>
          </cell>
          <cell r="B3" t="str">
            <v>4 SECTEUR PRIVE</v>
          </cell>
          <cell r="C3">
            <v>726</v>
          </cell>
          <cell r="D3">
            <v>9068.2652280000002</v>
          </cell>
          <cell r="E3">
            <v>4886.34</v>
          </cell>
          <cell r="F3">
            <v>53.884</v>
          </cell>
          <cell r="G3" t="str">
            <v>Eleveurs</v>
          </cell>
          <cell r="H3" t="str">
            <v>A0X41 Eleveurs</v>
          </cell>
        </row>
        <row r="4">
          <cell r="A4" t="str">
            <v>A0X42</v>
          </cell>
          <cell r="B4" t="str">
            <v>4 SECTEUR PRIVE</v>
          </cell>
          <cell r="C4">
            <v>300</v>
          </cell>
          <cell r="D4">
            <v>5277.3599018000004</v>
          </cell>
          <cell r="E4">
            <v>4190.79</v>
          </cell>
          <cell r="F4">
            <v>79.411000000000001</v>
          </cell>
          <cell r="G4" t="str">
            <v>Bûcherons, sylviculteurs et agents forestiers</v>
          </cell>
          <cell r="H4" t="str">
            <v>A0X42 Bûcherons, sylviculteurs et agents forestiers</v>
          </cell>
        </row>
        <row r="5">
          <cell r="A5" t="str">
            <v>A0X43</v>
          </cell>
          <cell r="B5" t="str">
            <v>4 SECTEUR PRIVE</v>
          </cell>
          <cell r="C5">
            <v>701</v>
          </cell>
          <cell r="D5">
            <v>7166.2089204000004</v>
          </cell>
          <cell r="E5">
            <v>4433.8</v>
          </cell>
          <cell r="F5">
            <v>61.871000000000002</v>
          </cell>
          <cell r="G5" t="str">
            <v>Conducteurs d'engins agricoles ou forestiers</v>
          </cell>
          <cell r="H5" t="str">
            <v>A0X43 Conducteurs d'engins agricoles ou forestiers</v>
          </cell>
        </row>
        <row r="6">
          <cell r="A6" t="str">
            <v>A1X40</v>
          </cell>
          <cell r="B6" t="str">
            <v>4 SECTEUR PRIVE</v>
          </cell>
          <cell r="C6">
            <v>1068</v>
          </cell>
          <cell r="D6">
            <v>26870.763610999998</v>
          </cell>
          <cell r="E6">
            <v>15968.97</v>
          </cell>
          <cell r="F6">
            <v>59.429000000000002</v>
          </cell>
          <cell r="G6" t="str">
            <v>Maraîchers et horticulteurs</v>
          </cell>
          <cell r="H6" t="str">
            <v>A1X40 Maraîchers et horticulteurs</v>
          </cell>
        </row>
        <row r="7">
          <cell r="A7" t="str">
            <v>A1X41</v>
          </cell>
          <cell r="B7" t="str">
            <v>4 SECTEUR PRIVE</v>
          </cell>
          <cell r="C7">
            <v>2347</v>
          </cell>
          <cell r="D7">
            <v>28454.465013000001</v>
          </cell>
          <cell r="E7">
            <v>16445.03</v>
          </cell>
          <cell r="F7">
            <v>57.793999999999997</v>
          </cell>
          <cell r="G7" t="str">
            <v>Jardiniers des espaces verts et naturels</v>
          </cell>
          <cell r="H7" t="str">
            <v>A1X41 Jardiniers des espaces verts et naturels</v>
          </cell>
        </row>
        <row r="8">
          <cell r="A8" t="str">
            <v>A1X42</v>
          </cell>
          <cell r="B8" t="str">
            <v>4 SECTEUR PRIVE</v>
          </cell>
          <cell r="C8">
            <v>2792</v>
          </cell>
          <cell r="D8">
            <v>98384.951658000005</v>
          </cell>
          <cell r="E8">
            <v>51218.34</v>
          </cell>
          <cell r="F8">
            <v>52.058999999999997</v>
          </cell>
          <cell r="G8" t="str">
            <v>Viticulteurs, arboriculteurs</v>
          </cell>
          <cell r="H8" t="str">
            <v>A1X42 Viticulteurs, arboriculteurs</v>
          </cell>
        </row>
        <row r="9">
          <cell r="A9" t="str">
            <v>A2X70</v>
          </cell>
          <cell r="B9" t="str">
            <v>4 SECTEUR PRIVE</v>
          </cell>
          <cell r="C9">
            <v>587</v>
          </cell>
          <cell r="D9">
            <v>5637.9699478000002</v>
          </cell>
          <cell r="E9">
            <v>3513.3</v>
          </cell>
          <cell r="F9">
            <v>62.314999999999998</v>
          </cell>
          <cell r="G9" t="str">
            <v>Techniciens et agents d'encadrement d'exploitations agricoles</v>
          </cell>
          <cell r="H9" t="str">
            <v>A2X70 Techniciens et agents d'encadrement d'exploitations agricoles</v>
          </cell>
        </row>
        <row r="10">
          <cell r="A10" t="str">
            <v>A2X90</v>
          </cell>
          <cell r="B10" t="str">
            <v>4 SECTEUR PRIVE</v>
          </cell>
          <cell r="C10">
            <v>126</v>
          </cell>
          <cell r="D10">
            <v>1078.6684686999999</v>
          </cell>
          <cell r="E10">
            <v>535.05999999999995</v>
          </cell>
          <cell r="F10">
            <v>49.603999999999999</v>
          </cell>
          <cell r="G10" t="str">
            <v>Ingénieurs, cadres techniques de l'agriculture</v>
          </cell>
          <cell r="H10" t="str">
            <v>A2X90 Ingénieurs, cadres techniques de l'agriculture</v>
          </cell>
        </row>
        <row r="11">
          <cell r="A11" t="str">
            <v>A3X40</v>
          </cell>
          <cell r="B11" t="str">
            <v>4 SECTEUR PRIVE</v>
          </cell>
          <cell r="C11">
            <v>177</v>
          </cell>
          <cell r="D11">
            <v>4583.7738129999998</v>
          </cell>
          <cell r="E11">
            <v>2981.06</v>
          </cell>
          <cell r="F11">
            <v>65.034999999999997</v>
          </cell>
          <cell r="G11" t="str">
            <v>Pêcheurs et aquaculteurs</v>
          </cell>
          <cell r="H11" t="str">
            <v>A3X40 Pêcheurs et aquaculteurs</v>
          </cell>
        </row>
        <row r="12">
          <cell r="A12" t="str">
            <v>A3X41</v>
          </cell>
          <cell r="B12" t="str">
            <v>4 SECTEUR PRIVE</v>
          </cell>
          <cell r="C12">
            <v>108</v>
          </cell>
          <cell r="D12">
            <v>1789.3428381000001</v>
          </cell>
          <cell r="E12">
            <v>785.06</v>
          </cell>
          <cell r="F12">
            <v>43.874000000000002</v>
          </cell>
          <cell r="G12" t="str">
            <v>Marins</v>
          </cell>
          <cell r="H12" t="str">
            <v>A3X41 Marins</v>
          </cell>
        </row>
        <row r="13">
          <cell r="A13" t="str">
            <v>A3X90</v>
          </cell>
          <cell r="B13" t="str">
            <v>4 SECTEUR PRIVE</v>
          </cell>
          <cell r="C13">
            <v>50</v>
          </cell>
          <cell r="D13">
            <v>622.37174960000004</v>
          </cell>
          <cell r="E13">
            <v>408.13</v>
          </cell>
          <cell r="F13">
            <v>65.576999999999998</v>
          </cell>
          <cell r="G13" t="str">
            <v>Cadres et maîtres d'équipage de la marine</v>
          </cell>
          <cell r="H13" t="str">
            <v>A3X90 Cadres et maîtres d'équipage de la marine</v>
          </cell>
        </row>
        <row r="14">
          <cell r="A14" t="str">
            <v>B0X30</v>
          </cell>
          <cell r="B14" t="str">
            <v>4 SECTEUR PRIVE</v>
          </cell>
          <cell r="C14">
            <v>937</v>
          </cell>
          <cell r="D14">
            <v>12354.569896999999</v>
          </cell>
          <cell r="E14">
            <v>6501.8</v>
          </cell>
          <cell r="F14">
            <v>52.627000000000002</v>
          </cell>
          <cell r="G14" t="str">
            <v>Ouvriers peu qualifiés de l'extraction et des travaux publics</v>
          </cell>
          <cell r="H14" t="str">
            <v>B0X30 Ouvriers peu qualifiés de l'extraction et des travaux publics</v>
          </cell>
        </row>
        <row r="15">
          <cell r="A15" t="str">
            <v>B0X31</v>
          </cell>
          <cell r="B15" t="str">
            <v>4 SECTEUR PRIVE</v>
          </cell>
          <cell r="C15">
            <v>982</v>
          </cell>
          <cell r="D15">
            <v>10068.593375</v>
          </cell>
          <cell r="E15">
            <v>7298.01</v>
          </cell>
          <cell r="F15">
            <v>72.483000000000004</v>
          </cell>
          <cell r="G15" t="str">
            <v>Ouvriers qualifiés de l'extraction et des travaux publics</v>
          </cell>
          <cell r="H15" t="str">
            <v>B0X31 Ouvriers qualifiés de l'extraction et des travaux publics</v>
          </cell>
        </row>
        <row r="16">
          <cell r="A16" t="str">
            <v>B0X32</v>
          </cell>
          <cell r="B16" t="str">
            <v>4 SECTEUR PRIVE</v>
          </cell>
          <cell r="C16">
            <v>863</v>
          </cell>
          <cell r="D16">
            <v>9853.0675947</v>
          </cell>
          <cell r="E16">
            <v>6758.42</v>
          </cell>
          <cell r="F16">
            <v>68.591999999999999</v>
          </cell>
          <cell r="G16" t="str">
            <v>Ouvriers de la construction en béton</v>
          </cell>
          <cell r="H16" t="str">
            <v>B0X32 Ouvriers de la construction en béton</v>
          </cell>
        </row>
        <row r="17">
          <cell r="A17" t="str">
            <v>B1X30</v>
          </cell>
          <cell r="B17" t="str">
            <v>4 SECTEUR PRIVE</v>
          </cell>
          <cell r="C17">
            <v>461</v>
          </cell>
          <cell r="D17">
            <v>4711.8654899000003</v>
          </cell>
          <cell r="E17">
            <v>3357.35</v>
          </cell>
          <cell r="F17">
            <v>71.253</v>
          </cell>
          <cell r="G17" t="str">
            <v>Maçons peu qualifiés</v>
          </cell>
          <cell r="H17" t="str">
            <v>B1X30 Maçons peu qualifiés</v>
          </cell>
        </row>
        <row r="18">
          <cell r="A18" t="str">
            <v>B1X31</v>
          </cell>
          <cell r="B18" t="str">
            <v>4 SECTEUR PRIVE</v>
          </cell>
          <cell r="C18">
            <v>2004</v>
          </cell>
          <cell r="D18">
            <v>20643.679215</v>
          </cell>
          <cell r="E18">
            <v>15830.93</v>
          </cell>
          <cell r="F18">
            <v>76.686999999999998</v>
          </cell>
          <cell r="G18" t="str">
            <v>Maçons qualifiés</v>
          </cell>
          <cell r="H18" t="str">
            <v>B1X31 Maçons qualifiés</v>
          </cell>
        </row>
        <row r="19">
          <cell r="A19" t="str">
            <v>B1X33</v>
          </cell>
          <cell r="B19" t="str">
            <v>4 SECTEUR PRIVE</v>
          </cell>
          <cell r="C19">
            <v>970</v>
          </cell>
          <cell r="D19">
            <v>9399.6743442000006</v>
          </cell>
          <cell r="E19">
            <v>7441.07</v>
          </cell>
          <cell r="F19">
            <v>79.162999999999997</v>
          </cell>
          <cell r="G19" t="str">
            <v>Charpentiers (métal et bois)</v>
          </cell>
          <cell r="H19" t="str">
            <v>B1X33 Charpentiers (métal et bois)</v>
          </cell>
        </row>
        <row r="20">
          <cell r="A20" t="str">
            <v>B1X34</v>
          </cell>
          <cell r="B20" t="str">
            <v>4 SECTEUR PRIVE</v>
          </cell>
          <cell r="C20">
            <v>1290</v>
          </cell>
          <cell r="D20">
            <v>13869.983013999999</v>
          </cell>
          <cell r="E20">
            <v>11826.24</v>
          </cell>
          <cell r="F20">
            <v>85.265000000000001</v>
          </cell>
          <cell r="G20" t="str">
            <v>Couvreurs</v>
          </cell>
          <cell r="H20" t="str">
            <v>B1X34 Couvreurs</v>
          </cell>
        </row>
        <row r="21">
          <cell r="A21" t="str">
            <v>B1X38</v>
          </cell>
          <cell r="B21" t="str">
            <v>4 SECTEUR PRIVE</v>
          </cell>
          <cell r="C21">
            <v>191</v>
          </cell>
          <cell r="D21">
            <v>1378.6230871</v>
          </cell>
          <cell r="E21">
            <v>1064.75</v>
          </cell>
          <cell r="F21">
            <v>77.233000000000004</v>
          </cell>
          <cell r="G21" t="str">
            <v>Professionnels du travail de la pierre et des matériaux associés</v>
          </cell>
          <cell r="H21" t="str">
            <v>B1X38 Professionnels du travail de la pierre et des matériaux associés</v>
          </cell>
        </row>
        <row r="22">
          <cell r="A22" t="str">
            <v>B2X30</v>
          </cell>
          <cell r="B22" t="str">
            <v>4 SECTEUR PRIVE</v>
          </cell>
          <cell r="C22">
            <v>1032</v>
          </cell>
          <cell r="D22">
            <v>11995.740768</v>
          </cell>
          <cell r="E22">
            <v>8731.7199999999993</v>
          </cell>
          <cell r="F22">
            <v>72.790000000000006</v>
          </cell>
          <cell r="G22" t="str">
            <v>Ouvriers en pose et décoration de revêtements</v>
          </cell>
          <cell r="H22" t="str">
            <v>B2X30 Ouvriers en pose et décoration de revêtements</v>
          </cell>
        </row>
        <row r="23">
          <cell r="A23" t="str">
            <v>B2X31</v>
          </cell>
          <cell r="B23" t="str">
            <v>4 SECTEUR PRIVE</v>
          </cell>
          <cell r="C23">
            <v>615</v>
          </cell>
          <cell r="D23">
            <v>7692.1243274999997</v>
          </cell>
          <cell r="E23">
            <v>6185.01</v>
          </cell>
          <cell r="F23">
            <v>80.406999999999996</v>
          </cell>
          <cell r="G23" t="str">
            <v>Ouvriers en travaux de façade, d'étanchéité et d'isolation</v>
          </cell>
          <cell r="H23" t="str">
            <v>B2X31 Ouvriers en travaux de façade, d'étanchéité et d'isolation</v>
          </cell>
        </row>
        <row r="24">
          <cell r="A24" t="str">
            <v>B2X32</v>
          </cell>
          <cell r="B24" t="str">
            <v>4 SECTEUR PRIVE</v>
          </cell>
          <cell r="C24">
            <v>1558</v>
          </cell>
          <cell r="D24">
            <v>18227.899250999999</v>
          </cell>
          <cell r="E24">
            <v>13000.76</v>
          </cell>
          <cell r="F24">
            <v>71.322999999999993</v>
          </cell>
          <cell r="G24" t="str">
            <v>Ouvriers en électricité du bâtiment</v>
          </cell>
          <cell r="H24" t="str">
            <v>B2X32 Ouvriers en électricité du bâtiment</v>
          </cell>
        </row>
        <row r="25">
          <cell r="A25" t="str">
            <v>B2X33</v>
          </cell>
          <cell r="B25" t="str">
            <v>4 SECTEUR PRIVE</v>
          </cell>
          <cell r="C25">
            <v>1788</v>
          </cell>
          <cell r="D25">
            <v>19514.389683000001</v>
          </cell>
          <cell r="E25">
            <v>15238.4</v>
          </cell>
          <cell r="F25">
            <v>78.087999999999994</v>
          </cell>
          <cell r="G25" t="str">
            <v>Plombiers chauffagistes</v>
          </cell>
          <cell r="H25" t="str">
            <v>B2X33 Plombiers chauffagistes</v>
          </cell>
        </row>
        <row r="26">
          <cell r="A26" t="str">
            <v>B2X35</v>
          </cell>
          <cell r="B26" t="str">
            <v>4 SECTEUR PRIVE</v>
          </cell>
          <cell r="C26">
            <v>218</v>
          </cell>
          <cell r="D26">
            <v>2395.1095826999999</v>
          </cell>
          <cell r="E26">
            <v>1541.32</v>
          </cell>
          <cell r="F26">
            <v>64.352999999999994</v>
          </cell>
          <cell r="G26" t="str">
            <v>Ouvriers en montage réseaux électriques et télécoms</v>
          </cell>
          <cell r="H26" t="str">
            <v>B2X35 Ouvriers en montage réseaux électriques et télécoms</v>
          </cell>
        </row>
        <row r="27">
          <cell r="A27" t="str">
            <v>B2X36</v>
          </cell>
          <cell r="B27" t="str">
            <v>4 SECTEUR PRIVE</v>
          </cell>
          <cell r="C27">
            <v>1025</v>
          </cell>
          <cell r="D27">
            <v>11920.186272999999</v>
          </cell>
          <cell r="E27">
            <v>7854.57</v>
          </cell>
          <cell r="F27">
            <v>65.893000000000001</v>
          </cell>
          <cell r="G27" t="str">
            <v>Ouvriers en peinture en bâtiment</v>
          </cell>
          <cell r="H27" t="str">
            <v>B2X36 Ouvriers en peinture en bâtiment</v>
          </cell>
        </row>
        <row r="28">
          <cell r="A28" t="str">
            <v>B2X37</v>
          </cell>
          <cell r="B28" t="str">
            <v>4 SECTEUR PRIVE</v>
          </cell>
          <cell r="C28">
            <v>910</v>
          </cell>
          <cell r="D28">
            <v>8816.1361051999993</v>
          </cell>
          <cell r="E28">
            <v>6008.82</v>
          </cell>
          <cell r="F28">
            <v>68.156999999999996</v>
          </cell>
          <cell r="G28" t="str">
            <v>Ouvriers peu qualifiés en menuiserie et en agencement du BTP</v>
          </cell>
          <cell r="H28" t="str">
            <v>B2X37 Ouvriers peu qualifiés en menuiserie et en agencement du BTP</v>
          </cell>
        </row>
        <row r="29">
          <cell r="A29" t="str">
            <v>B2X38</v>
          </cell>
          <cell r="B29" t="str">
            <v>4 SECTEUR PRIVE</v>
          </cell>
          <cell r="C29">
            <v>1461</v>
          </cell>
          <cell r="D29">
            <v>13978.791982000001</v>
          </cell>
          <cell r="E29">
            <v>11130.49</v>
          </cell>
          <cell r="F29">
            <v>79.623999999999995</v>
          </cell>
          <cell r="G29" t="str">
            <v>Ouvriers qualifiés en menuiserie et en agencement du BTP</v>
          </cell>
          <cell r="H29" t="str">
            <v>B2X38 Ouvriers qualifiés en menuiserie et en agencement du BTP</v>
          </cell>
        </row>
        <row r="30">
          <cell r="A30" t="str">
            <v>B5X40</v>
          </cell>
          <cell r="B30" t="str">
            <v>4 SECTEUR PRIVE</v>
          </cell>
          <cell r="C30">
            <v>1089</v>
          </cell>
          <cell r="D30">
            <v>7541.0988860999996</v>
          </cell>
          <cell r="E30">
            <v>5328.42</v>
          </cell>
          <cell r="F30">
            <v>70.658000000000001</v>
          </cell>
          <cell r="G30" t="str">
            <v>Conducteurs d'engins du bâtiment et des travaux publics</v>
          </cell>
          <cell r="H30" t="str">
            <v>B5X40 Conducteurs d'engins du bâtiment et des travaux publics</v>
          </cell>
        </row>
        <row r="31">
          <cell r="A31" t="str">
            <v>B6X70</v>
          </cell>
          <cell r="B31" t="str">
            <v>4 SECTEUR PRIVE</v>
          </cell>
          <cell r="C31">
            <v>143</v>
          </cell>
          <cell r="D31">
            <v>1173.7753995999999</v>
          </cell>
          <cell r="E31">
            <v>894.51</v>
          </cell>
          <cell r="F31">
            <v>76.207999999999998</v>
          </cell>
          <cell r="G31" t="str">
            <v>Géomètres</v>
          </cell>
          <cell r="H31" t="str">
            <v>B6X70 Géomètres</v>
          </cell>
        </row>
        <row r="32">
          <cell r="A32" t="str">
            <v>B6X71</v>
          </cell>
          <cell r="B32" t="str">
            <v>4 SECTEUR PRIVE</v>
          </cell>
          <cell r="C32">
            <v>1016</v>
          </cell>
          <cell r="D32">
            <v>7709.8447568000001</v>
          </cell>
          <cell r="E32">
            <v>5915.79</v>
          </cell>
          <cell r="F32">
            <v>76.73</v>
          </cell>
          <cell r="G32" t="str">
            <v>Techniciens experts et chargés d’études du BTP</v>
          </cell>
          <cell r="H32" t="str">
            <v>B6X71 Techniciens experts et chargés d’études du BTP</v>
          </cell>
        </row>
        <row r="33">
          <cell r="A33" t="str">
            <v>B6X72</v>
          </cell>
          <cell r="B33" t="str">
            <v>4 SECTEUR PRIVE</v>
          </cell>
          <cell r="C33">
            <v>492</v>
          </cell>
          <cell r="D33">
            <v>3369.2645650999998</v>
          </cell>
          <cell r="E33">
            <v>2428.11</v>
          </cell>
          <cell r="F33">
            <v>72.066999999999993</v>
          </cell>
          <cell r="G33" t="str">
            <v>Dessinateurs en bâtiment et en travaux publics</v>
          </cell>
          <cell r="H33" t="str">
            <v>B6X72 Dessinateurs en bâtiment et en travaux publics</v>
          </cell>
        </row>
        <row r="34">
          <cell r="A34" t="str">
            <v>B6X73</v>
          </cell>
          <cell r="B34" t="str">
            <v>4 SECTEUR PRIVE</v>
          </cell>
          <cell r="C34">
            <v>735</v>
          </cell>
          <cell r="D34">
            <v>6967.2465719000002</v>
          </cell>
          <cell r="E34">
            <v>4808.6499999999996</v>
          </cell>
          <cell r="F34">
            <v>69.018000000000001</v>
          </cell>
          <cell r="G34" t="str">
            <v>Techniciens et agents de maîtrise de chantiers du BTP </v>
          </cell>
          <cell r="H34" t="str">
            <v>B6X73 Techniciens et agents de maîtrise de chantiers du BTP </v>
          </cell>
        </row>
        <row r="35">
          <cell r="A35" t="str">
            <v>B6X74</v>
          </cell>
          <cell r="B35" t="str">
            <v>4 SECTEUR PRIVE</v>
          </cell>
          <cell r="C35">
            <v>1618</v>
          </cell>
          <cell r="D35">
            <v>9621.5254628000002</v>
          </cell>
          <cell r="E35">
            <v>7152.66</v>
          </cell>
          <cell r="F35">
            <v>74.34</v>
          </cell>
          <cell r="G35" t="str">
            <v>Conducteurs de travaux et chefs de chantier non cadres</v>
          </cell>
          <cell r="H35" t="str">
            <v>B6X74 Conducteurs de travaux et chefs de chantier non cadres</v>
          </cell>
        </row>
        <row r="36">
          <cell r="A36" t="str">
            <v>B7X90</v>
          </cell>
          <cell r="B36" t="str">
            <v>4 SECTEUR PRIVE</v>
          </cell>
          <cell r="C36">
            <v>236</v>
          </cell>
          <cell r="D36">
            <v>2082.8051332</v>
          </cell>
          <cell r="E36">
            <v>1076.6099999999999</v>
          </cell>
          <cell r="F36">
            <v>51.691000000000003</v>
          </cell>
          <cell r="G36" t="str">
            <v>Architectes</v>
          </cell>
          <cell r="H36" t="str">
            <v>B7X90 Architectes</v>
          </cell>
        </row>
        <row r="37">
          <cell r="A37" t="str">
            <v>B7X91</v>
          </cell>
          <cell r="B37" t="str">
            <v>4 SECTEUR PRIVE</v>
          </cell>
          <cell r="C37">
            <v>440</v>
          </cell>
          <cell r="D37">
            <v>3060.3101148000001</v>
          </cell>
          <cell r="E37">
            <v>2022.79</v>
          </cell>
          <cell r="F37">
            <v>66.097999999999999</v>
          </cell>
          <cell r="G37" t="str">
            <v>Cadres des études BTP, des études géologiques, du métré de la construction et du contrôle et diagnostic technique du BTP</v>
          </cell>
          <cell r="H37" t="str">
            <v>B7X91 Cadres des études BTP, des études géologiques, du métré de la construction et du contrôle et diagnostic technique du BTP</v>
          </cell>
        </row>
        <row r="38">
          <cell r="A38" t="str">
            <v>B7X92</v>
          </cell>
          <cell r="B38" t="str">
            <v>4 SECTEUR PRIVE</v>
          </cell>
          <cell r="C38">
            <v>1259</v>
          </cell>
          <cell r="D38">
            <v>8116.0893821999998</v>
          </cell>
          <cell r="E38">
            <v>5632.73</v>
          </cell>
          <cell r="F38">
            <v>69.402000000000001</v>
          </cell>
          <cell r="G38" t="str">
            <v>Ingénieurs du bâtiment et des travaux publics, chefs de chantier et conducteurs de travaux (cadres)</v>
          </cell>
          <cell r="H38" t="str">
            <v>B7X92 Ingénieurs du bâtiment et des travaux publics, chefs de chantier et conducteurs de travaux (cadres)</v>
          </cell>
        </row>
        <row r="39">
          <cell r="A39" t="str">
            <v>C0X30</v>
          </cell>
          <cell r="B39" t="str">
            <v>4 SECTEUR PRIVE</v>
          </cell>
          <cell r="C39">
            <v>1113</v>
          </cell>
          <cell r="D39">
            <v>11451.984503</v>
          </cell>
          <cell r="E39">
            <v>6980.12</v>
          </cell>
          <cell r="F39">
            <v>60.951000000000001</v>
          </cell>
          <cell r="G39" t="str">
            <v>Ouvriers de l'électricité et de l'électronique</v>
          </cell>
          <cell r="H39" t="str">
            <v>C0X30 Ouvriers de l'électricité et de l'électronique</v>
          </cell>
        </row>
        <row r="40">
          <cell r="A40" t="str">
            <v>C2X70</v>
          </cell>
          <cell r="B40" t="str">
            <v>4 SECTEUR PRIVE</v>
          </cell>
          <cell r="C40">
            <v>608</v>
          </cell>
          <cell r="D40">
            <v>4202.2034239000004</v>
          </cell>
          <cell r="E40">
            <v>3120.57</v>
          </cell>
          <cell r="F40">
            <v>74.260000000000005</v>
          </cell>
          <cell r="G40" t="str">
            <v>Techniciens, agents de maîtrise et assimilés en électricité et en électronique</v>
          </cell>
          <cell r="H40" t="str">
            <v>C2X70 Techniciens, agents de maîtrise et assimilés en électricité et en électronique</v>
          </cell>
        </row>
        <row r="41">
          <cell r="A41" t="str">
            <v>D0X30</v>
          </cell>
          <cell r="B41" t="str">
            <v>4 SECTEUR PRIVE</v>
          </cell>
          <cell r="C41">
            <v>667</v>
          </cell>
          <cell r="D41">
            <v>6284.4795421999997</v>
          </cell>
          <cell r="E41">
            <v>3822.03</v>
          </cell>
          <cell r="F41">
            <v>60.817</v>
          </cell>
          <cell r="G41" t="str">
            <v>Ouvriers peu qualifiés en conduite d'équipement d'usinage</v>
          </cell>
          <cell r="H41" t="str">
            <v>D0X30 Ouvriers peu qualifiés en conduite d'équipement d'usinage</v>
          </cell>
        </row>
        <row r="42">
          <cell r="A42" t="str">
            <v>D0X31</v>
          </cell>
          <cell r="B42" t="str">
            <v>4 SECTEUR PRIVE</v>
          </cell>
          <cell r="C42">
            <v>960</v>
          </cell>
          <cell r="D42">
            <v>6175.5585502000004</v>
          </cell>
          <cell r="E42">
            <v>5095.71</v>
          </cell>
          <cell r="F42">
            <v>82.513999999999996</v>
          </cell>
          <cell r="G42" t="str">
            <v>Ouvriers qualifiés en conduite d'équipement d'usinage</v>
          </cell>
          <cell r="H42" t="str">
            <v>D0X31 Ouvriers qualifiés en conduite d'équipement d'usinage</v>
          </cell>
        </row>
        <row r="43">
          <cell r="A43" t="str">
            <v>D0X33</v>
          </cell>
          <cell r="B43" t="str">
            <v>4 SECTEUR PRIVE</v>
          </cell>
          <cell r="C43">
            <v>232</v>
          </cell>
          <cell r="D43">
            <v>1240.9819218</v>
          </cell>
          <cell r="E43">
            <v>1033.46</v>
          </cell>
          <cell r="F43">
            <v>83.278000000000006</v>
          </cell>
          <cell r="G43" t="str">
            <v>Régleurs</v>
          </cell>
          <cell r="H43" t="str">
            <v>D0X33 Régleurs</v>
          </cell>
        </row>
        <row r="44">
          <cell r="A44" t="str">
            <v>D1X30</v>
          </cell>
          <cell r="B44" t="str">
            <v>4 SECTEUR PRIVE</v>
          </cell>
          <cell r="C44">
            <v>1093</v>
          </cell>
          <cell r="D44">
            <v>7605.7668755000004</v>
          </cell>
          <cell r="E44">
            <v>6129.07</v>
          </cell>
          <cell r="F44">
            <v>80.584999999999994</v>
          </cell>
          <cell r="G44" t="str">
            <v>Ouvriers en chaudronnerie et tôlerie</v>
          </cell>
          <cell r="H44" t="str">
            <v>D1X30 Ouvriers en chaudronnerie et tôlerie</v>
          </cell>
        </row>
        <row r="45">
          <cell r="A45" t="str">
            <v>D1X32</v>
          </cell>
          <cell r="B45" t="str">
            <v>4 SECTEUR PRIVE</v>
          </cell>
          <cell r="C45">
            <v>210</v>
          </cell>
          <cell r="D45">
            <v>1617.5639642000001</v>
          </cell>
          <cell r="E45">
            <v>1341.63</v>
          </cell>
          <cell r="F45">
            <v>82.941000000000003</v>
          </cell>
          <cell r="G45" t="str">
            <v>Tuyauteurs</v>
          </cell>
          <cell r="H45" t="str">
            <v>D1X32 Tuyauteurs</v>
          </cell>
        </row>
        <row r="46">
          <cell r="A46" t="str">
            <v>D1X33</v>
          </cell>
          <cell r="B46" t="str">
            <v>4 SECTEUR PRIVE</v>
          </cell>
          <cell r="C46">
            <v>936</v>
          </cell>
          <cell r="D46">
            <v>6581.4825822000003</v>
          </cell>
          <cell r="E46">
            <v>5271</v>
          </cell>
          <cell r="F46">
            <v>80.087999999999994</v>
          </cell>
          <cell r="G46" t="str">
            <v>Soudeurs</v>
          </cell>
          <cell r="H46" t="str">
            <v>D1X33 Soudeurs</v>
          </cell>
        </row>
        <row r="47">
          <cell r="A47" t="str">
            <v>D2X30</v>
          </cell>
          <cell r="B47" t="str">
            <v>4 SECTEUR PRIVE</v>
          </cell>
          <cell r="C47">
            <v>650</v>
          </cell>
          <cell r="D47">
            <v>7262.0174961000002</v>
          </cell>
          <cell r="E47">
            <v>3756.05</v>
          </cell>
          <cell r="F47">
            <v>51.722000000000001</v>
          </cell>
          <cell r="G47" t="str">
            <v>Ouvriers peu qualifiés en ajustement, montage et assemblage mécanique</v>
          </cell>
          <cell r="H47" t="str">
            <v>D2X30 Ouvriers peu qualifiés en ajustement, montage et assemblage mécanique</v>
          </cell>
        </row>
        <row r="48">
          <cell r="A48" t="str">
            <v>D2X31</v>
          </cell>
          <cell r="B48" t="str">
            <v>4 SECTEUR PRIVE</v>
          </cell>
          <cell r="C48">
            <v>786</v>
          </cell>
          <cell r="D48">
            <v>6926.3624024999999</v>
          </cell>
          <cell r="E48">
            <v>4387.76</v>
          </cell>
          <cell r="F48">
            <v>63.348999999999997</v>
          </cell>
          <cell r="G48" t="str">
            <v>Ouvriers qualifiés en ajustement, montage et assemblage mécanique</v>
          </cell>
          <cell r="H48" t="str">
            <v>D2X31 Ouvriers qualifiés en ajustement, montage et assemblage mécanique</v>
          </cell>
        </row>
        <row r="49">
          <cell r="A49" t="str">
            <v>D2X32</v>
          </cell>
          <cell r="B49" t="str">
            <v>4 SECTEUR PRIVE</v>
          </cell>
          <cell r="C49">
            <v>325</v>
          </cell>
          <cell r="D49">
            <v>2609.4939545000002</v>
          </cell>
          <cell r="E49">
            <v>1898.16</v>
          </cell>
          <cell r="F49">
            <v>72.741</v>
          </cell>
          <cell r="G49" t="str">
            <v>Ouvriers de la peinture et du traitement de surface</v>
          </cell>
          <cell r="H49" t="str">
            <v>D2X32 Ouvriers de la peinture et du traitement de surface</v>
          </cell>
        </row>
        <row r="50">
          <cell r="A50" t="str">
            <v>D6X70</v>
          </cell>
          <cell r="B50" t="str">
            <v>4 SECTEUR PRIVE</v>
          </cell>
          <cell r="C50">
            <v>627</v>
          </cell>
          <cell r="D50">
            <v>4246.2542080000003</v>
          </cell>
          <cell r="E50">
            <v>2968.47</v>
          </cell>
          <cell r="F50">
            <v>69.908000000000001</v>
          </cell>
          <cell r="G50" t="str">
            <v>Techniciens en mécanique et travail des métaux</v>
          </cell>
          <cell r="H50" t="str">
            <v>D6X70 Techniciens en mécanique et travail des métaux</v>
          </cell>
        </row>
        <row r="51">
          <cell r="A51" t="str">
            <v>D6X80</v>
          </cell>
          <cell r="B51" t="str">
            <v>4 SECTEUR PRIVE</v>
          </cell>
          <cell r="C51">
            <v>132</v>
          </cell>
          <cell r="D51">
            <v>792.00349588999995</v>
          </cell>
          <cell r="E51">
            <v>568.72</v>
          </cell>
          <cell r="F51">
            <v>71.808000000000007</v>
          </cell>
          <cell r="G51" t="str">
            <v>Agents de maîtrise et assimilés en fabrication mécanique</v>
          </cell>
          <cell r="H51" t="str">
            <v>D6X80 Agents de maîtrise et assimilés en fabrication mécanique</v>
          </cell>
        </row>
        <row r="52">
          <cell r="A52" t="str">
            <v>E0X30</v>
          </cell>
          <cell r="B52" t="str">
            <v>4 SECTEUR PRIVE</v>
          </cell>
          <cell r="C52">
            <v>454</v>
          </cell>
          <cell r="D52">
            <v>4887.1763023000003</v>
          </cell>
          <cell r="E52">
            <v>2880.76</v>
          </cell>
          <cell r="F52">
            <v>58.945</v>
          </cell>
          <cell r="G52" t="str">
            <v>Pilotes d'installation lourdes des industries de transformation et d'énergie</v>
          </cell>
          <cell r="H52" t="str">
            <v>E0X30 Pilotes d'installation lourdes des industries de transformation et d'énergie</v>
          </cell>
        </row>
        <row r="53">
          <cell r="A53" t="str">
            <v>E1X21</v>
          </cell>
          <cell r="B53" t="str">
            <v>4 SECTEUR PRIVE</v>
          </cell>
          <cell r="C53">
            <v>134</v>
          </cell>
          <cell r="D53">
            <v>2303.3724004999999</v>
          </cell>
          <cell r="E53">
            <v>1046.8699999999999</v>
          </cell>
          <cell r="F53">
            <v>45.448999999999998</v>
          </cell>
          <cell r="G53" t="str">
            <v>Ouvriers peu qualifiés de conduite d'installation de production de métaux</v>
          </cell>
          <cell r="H53" t="str">
            <v>E1X21 Ouvriers peu qualifiés de conduite d'installation de production de métaux</v>
          </cell>
        </row>
        <row r="54">
          <cell r="A54" t="str">
            <v>E1X30</v>
          </cell>
          <cell r="B54" t="str">
            <v>4 SECTEUR PRIVE</v>
          </cell>
          <cell r="C54">
            <v>165</v>
          </cell>
          <cell r="D54">
            <v>2002.3892602999999</v>
          </cell>
          <cell r="E54">
            <v>1079.81</v>
          </cell>
          <cell r="F54">
            <v>53.926000000000002</v>
          </cell>
          <cell r="G54" t="str">
            <v>Ouvriers de l'industrie verrière, céramique et matériaux de construction</v>
          </cell>
          <cell r="H54" t="str">
            <v>E1X30 Ouvriers de l'industrie verrière, céramique et matériaux de construction</v>
          </cell>
        </row>
        <row r="55">
          <cell r="A55" t="str">
            <v>E1X41</v>
          </cell>
          <cell r="B55" t="str">
            <v>4 SECTEUR PRIVE</v>
          </cell>
          <cell r="C55">
            <v>79</v>
          </cell>
          <cell r="D55">
            <v>660.88474761999998</v>
          </cell>
          <cell r="E55">
            <v>337.12</v>
          </cell>
          <cell r="F55">
            <v>51.01</v>
          </cell>
          <cell r="G55" t="str">
            <v>Ouvriers qualifiés de conduite d'installation de production de métaux</v>
          </cell>
          <cell r="H55" t="str">
            <v>E1X41 Ouvriers qualifiés de conduite d'installation de production de métaux</v>
          </cell>
        </row>
        <row r="56">
          <cell r="A56" t="str">
            <v>E2X20</v>
          </cell>
          <cell r="B56" t="str">
            <v>4 SECTEUR PRIVE</v>
          </cell>
          <cell r="C56">
            <v>567</v>
          </cell>
          <cell r="D56">
            <v>8314.8534897000009</v>
          </cell>
          <cell r="E56">
            <v>4211.6400000000003</v>
          </cell>
          <cell r="F56">
            <v>50.652000000000001</v>
          </cell>
          <cell r="G56" t="str">
            <v>Ouvriers peu qualifiés des industries chimiques et plastiques</v>
          </cell>
          <cell r="H56" t="str">
            <v>E2X20 Ouvriers peu qualifiés des industries chimiques et plastiques</v>
          </cell>
        </row>
        <row r="57">
          <cell r="A57" t="str">
            <v>E2X40</v>
          </cell>
          <cell r="B57" t="str">
            <v>4 SECTEUR PRIVE</v>
          </cell>
          <cell r="C57">
            <v>394</v>
          </cell>
          <cell r="D57">
            <v>4084.4469954000001</v>
          </cell>
          <cell r="E57">
            <v>2483.62</v>
          </cell>
          <cell r="F57">
            <v>60.807000000000002</v>
          </cell>
          <cell r="G57" t="str">
            <v>Ouvriers qualifiés des industries chimiques et plastiques</v>
          </cell>
          <cell r="H57" t="str">
            <v>E2X40 Ouvriers qualifiés des industries chimiques et plastiques</v>
          </cell>
        </row>
        <row r="58">
          <cell r="A58" t="str">
            <v>E3X20</v>
          </cell>
          <cell r="B58" t="str">
            <v>4 SECTEUR PRIVE</v>
          </cell>
          <cell r="C58">
            <v>1125</v>
          </cell>
          <cell r="D58">
            <v>29244.701397000001</v>
          </cell>
          <cell r="E58">
            <v>16743.91</v>
          </cell>
          <cell r="F58">
            <v>57.253999999999998</v>
          </cell>
          <cell r="G58" t="str">
            <v>Ouvriers peu qualifiés des industries agro-alimentaires</v>
          </cell>
          <cell r="H58" t="str">
            <v>E3X20 Ouvriers peu qualifiés des industries agro-alimentaires</v>
          </cell>
        </row>
        <row r="59">
          <cell r="A59" t="str">
            <v>E3X40</v>
          </cell>
          <cell r="B59" t="str">
            <v>4 SECTEUR PRIVE</v>
          </cell>
          <cell r="C59">
            <v>731</v>
          </cell>
          <cell r="D59">
            <v>11009.330237</v>
          </cell>
          <cell r="E59">
            <v>7296.43</v>
          </cell>
          <cell r="F59">
            <v>66.275000000000006</v>
          </cell>
          <cell r="G59" t="str">
            <v>Ouvriers qualifiés des industries agro-alimentaires</v>
          </cell>
          <cell r="H59" t="str">
            <v>E3X40 Ouvriers qualifiés des industries agro-alimentaires</v>
          </cell>
        </row>
        <row r="60">
          <cell r="A60" t="str">
            <v>E4X30</v>
          </cell>
          <cell r="B60" t="str">
            <v>4 SECTEUR PRIVE</v>
          </cell>
          <cell r="C60">
            <v>182</v>
          </cell>
          <cell r="D60">
            <v>2234.083173</v>
          </cell>
          <cell r="E60">
            <v>1164.54</v>
          </cell>
          <cell r="F60">
            <v>52.125999999999998</v>
          </cell>
          <cell r="G60" t="str">
            <v>Ouvriers en conduite d’équipement de fabrication de pâte à papier, de papier et de carton et de panneaux de bois</v>
          </cell>
          <cell r="H60" t="str">
            <v>E4X30 Ouvriers en conduite d’équipement de fabrication de pâte à papier, de papier et de carton et de panneaux de bois</v>
          </cell>
        </row>
        <row r="61">
          <cell r="A61" t="str">
            <v>E4X32</v>
          </cell>
          <cell r="B61" t="str">
            <v>4 SECTEUR PRIVE</v>
          </cell>
          <cell r="C61">
            <v>656</v>
          </cell>
          <cell r="D61">
            <v>12622.68785</v>
          </cell>
          <cell r="E61">
            <v>5585.03</v>
          </cell>
          <cell r="F61">
            <v>44.246000000000002</v>
          </cell>
          <cell r="G61" t="str">
            <v>Ouvriers du conditionnement, du tri et de l'emballage</v>
          </cell>
          <cell r="H61" t="str">
            <v>E4X32 Ouvriers du conditionnement, du tri et de l'emballage</v>
          </cell>
        </row>
        <row r="62">
          <cell r="A62" t="str">
            <v>E5X70</v>
          </cell>
          <cell r="B62" t="str">
            <v>4 SECTEUR PRIVE</v>
          </cell>
          <cell r="C62">
            <v>1189</v>
          </cell>
          <cell r="D62">
            <v>8145.5620403000003</v>
          </cell>
          <cell r="E62">
            <v>4393.9399999999996</v>
          </cell>
          <cell r="F62">
            <v>53.942999999999998</v>
          </cell>
          <cell r="G62" t="str">
            <v>Techniciens des industries de process</v>
          </cell>
          <cell r="H62" t="str">
            <v>E5X70 Techniciens des industries de process</v>
          </cell>
        </row>
        <row r="63">
          <cell r="A63" t="str">
            <v>E5X80</v>
          </cell>
          <cell r="B63" t="str">
            <v>4 SECTEUR PRIVE</v>
          </cell>
          <cell r="C63">
            <v>333</v>
          </cell>
          <cell r="D63">
            <v>2042.0386447999999</v>
          </cell>
          <cell r="E63">
            <v>1283.8</v>
          </cell>
          <cell r="F63">
            <v>62.868000000000002</v>
          </cell>
          <cell r="G63" t="str">
            <v>Agents de maîtrise et assimilés des industries de process</v>
          </cell>
          <cell r="H63" t="str">
            <v>E5X80 Agents de maîtrise et assimilés des industries de process</v>
          </cell>
        </row>
        <row r="64">
          <cell r="A64" t="str">
            <v>F0X30</v>
          </cell>
          <cell r="B64" t="str">
            <v>4 SECTEUR PRIVE</v>
          </cell>
          <cell r="C64">
            <v>158</v>
          </cell>
          <cell r="D64">
            <v>3614.5793228000002</v>
          </cell>
          <cell r="E64">
            <v>2099.1799999999998</v>
          </cell>
          <cell r="F64">
            <v>58.075000000000003</v>
          </cell>
          <cell r="G64" t="str">
            <v>Ouvriers, techniciens et agents de maîtrise en traitement du cuir</v>
          </cell>
          <cell r="H64" t="str">
            <v>F0X30 Ouvriers, techniciens et agents de maîtrise en traitement du cuir</v>
          </cell>
        </row>
        <row r="65">
          <cell r="A65" t="str">
            <v>F0X32</v>
          </cell>
          <cell r="B65" t="str">
            <v>4 SECTEUR PRIVE</v>
          </cell>
          <cell r="C65">
            <v>343</v>
          </cell>
          <cell r="D65">
            <v>4961.3294285000002</v>
          </cell>
          <cell r="E65">
            <v>2810.51</v>
          </cell>
          <cell r="F65">
            <v>56.648000000000003</v>
          </cell>
          <cell r="G65" t="str">
            <v>Ouvriers, techniciens et agents de maîtrise du textile</v>
          </cell>
          <cell r="H65" t="str">
            <v>F0X32 Ouvriers, techniciens et agents de maîtrise du textile</v>
          </cell>
        </row>
        <row r="66">
          <cell r="A66" t="str">
            <v>F0X33</v>
          </cell>
          <cell r="B66" t="str">
            <v>4 SECTEUR PRIVE</v>
          </cell>
          <cell r="C66">
            <v>265</v>
          </cell>
          <cell r="D66">
            <v>3380.1716110000002</v>
          </cell>
          <cell r="E66">
            <v>2210.06</v>
          </cell>
          <cell r="F66">
            <v>65.382999999999996</v>
          </cell>
          <cell r="G66" t="str">
            <v>Ouvriers, techniciens et agents de maîtrise de l'habillement</v>
          </cell>
          <cell r="H66" t="str">
            <v>F0X33 Ouvriers, techniciens et agents de maîtrise de l'habillement</v>
          </cell>
        </row>
        <row r="67">
          <cell r="A67" t="str">
            <v>F1X30</v>
          </cell>
          <cell r="B67" t="str">
            <v>4 SECTEUR PRIVE</v>
          </cell>
          <cell r="C67">
            <v>164</v>
          </cell>
          <cell r="D67">
            <v>1156.4034567000001</v>
          </cell>
          <cell r="E67">
            <v>869.07</v>
          </cell>
          <cell r="F67">
            <v>75.153000000000006</v>
          </cell>
          <cell r="G67" t="str">
            <v>Ouvriers de la réalisation d'ouvrages décoratifs et meubles en bois</v>
          </cell>
          <cell r="H67" t="str">
            <v>F1X30 Ouvriers de la réalisation d'ouvrages décoratifs et meubles en bois</v>
          </cell>
        </row>
        <row r="68">
          <cell r="A68" t="str">
            <v>F1X31</v>
          </cell>
          <cell r="B68" t="str">
            <v>4 SECTEUR PRIVE</v>
          </cell>
          <cell r="C68">
            <v>469</v>
          </cell>
          <cell r="D68">
            <v>3904.6289784999999</v>
          </cell>
          <cell r="E68">
            <v>2204.77</v>
          </cell>
          <cell r="F68">
            <v>56.466000000000001</v>
          </cell>
          <cell r="G68" t="str">
            <v>Ouvriers et techniciens de la scierie, de l'assemblage et de la fabrication d'ouvrages en bois</v>
          </cell>
          <cell r="H68" t="str">
            <v>F1X31 Ouvriers et techniciens de la scierie, de l'assemblage et de la fabrication d'ouvrages en bois</v>
          </cell>
        </row>
        <row r="69">
          <cell r="A69" t="str">
            <v>F2X30</v>
          </cell>
          <cell r="B69" t="str">
            <v>4 SECTEUR PRIVE</v>
          </cell>
          <cell r="C69">
            <v>226</v>
          </cell>
          <cell r="D69">
            <v>1778.2426382000001</v>
          </cell>
          <cell r="E69">
            <v>1151.01</v>
          </cell>
          <cell r="F69">
            <v>64.727000000000004</v>
          </cell>
          <cell r="G69" t="str">
            <v>Ouvriers, techniciens et agents de maîtrise de l'imprimerie</v>
          </cell>
          <cell r="H69" t="str">
            <v>F2X30 Ouvriers, techniciens et agents de maîtrise de l'imprimerie</v>
          </cell>
        </row>
        <row r="70">
          <cell r="A70" t="str">
            <v>G0A40</v>
          </cell>
          <cell r="B70" t="str">
            <v>4 SECTEUR PRIVE</v>
          </cell>
          <cell r="C70">
            <v>2684</v>
          </cell>
          <cell r="D70">
            <v>18074.441759000001</v>
          </cell>
          <cell r="E70">
            <v>12914.54</v>
          </cell>
          <cell r="F70">
            <v>71.451999999999998</v>
          </cell>
          <cell r="G70" t="str">
            <v>Ouvriers de la maintenance générale et mécanique</v>
          </cell>
          <cell r="H70" t="str">
            <v>G0A40 Ouvriers de la maintenance générale et mécanique</v>
          </cell>
        </row>
        <row r="71">
          <cell r="A71" t="str">
            <v>G0A41</v>
          </cell>
          <cell r="B71" t="str">
            <v>4 SECTEUR PRIVE</v>
          </cell>
          <cell r="C71">
            <v>1184</v>
          </cell>
          <cell r="D71">
            <v>7136.1089037000002</v>
          </cell>
          <cell r="E71">
            <v>4929.76</v>
          </cell>
          <cell r="F71">
            <v>69.081999999999994</v>
          </cell>
          <cell r="G71" t="str">
            <v>Ouvriers de la maintenance en électricité et en électronique</v>
          </cell>
          <cell r="H71" t="str">
            <v>G0A41 Ouvriers de la maintenance en électricité et en électronique</v>
          </cell>
        </row>
        <row r="72">
          <cell r="A72" t="str">
            <v>G0A43</v>
          </cell>
          <cell r="B72" t="str">
            <v>4 SECTEUR PRIVE</v>
          </cell>
          <cell r="C72">
            <v>784</v>
          </cell>
          <cell r="D72">
            <v>7975.4794906999996</v>
          </cell>
          <cell r="E72">
            <v>5110.57</v>
          </cell>
          <cell r="F72">
            <v>64.078000000000003</v>
          </cell>
          <cell r="G72" t="str">
            <v>Ouvriers polyvalents d'entretien du bâtiment</v>
          </cell>
          <cell r="H72" t="str">
            <v>G0A43 Ouvriers polyvalents d'entretien du bâtiment</v>
          </cell>
        </row>
        <row r="73">
          <cell r="A73" t="str">
            <v>G0B40</v>
          </cell>
          <cell r="B73" t="str">
            <v>4 SECTEUR PRIVE</v>
          </cell>
          <cell r="C73">
            <v>1016</v>
          </cell>
          <cell r="D73">
            <v>7957.9640163000004</v>
          </cell>
          <cell r="E73">
            <v>6827.24</v>
          </cell>
          <cell r="F73">
            <v>85.790999999999997</v>
          </cell>
          <cell r="G73" t="str">
            <v>Carrossiers automobiles</v>
          </cell>
          <cell r="H73" t="str">
            <v>G0B40 Carrossiers automobiles</v>
          </cell>
        </row>
        <row r="74">
          <cell r="A74" t="str">
            <v>G0B41</v>
          </cell>
          <cell r="B74" t="str">
            <v>4 SECTEUR PRIVE</v>
          </cell>
          <cell r="C74">
            <v>3371</v>
          </cell>
          <cell r="D74">
            <v>26828.237343000001</v>
          </cell>
          <cell r="E74">
            <v>20917.66</v>
          </cell>
          <cell r="F74">
            <v>77.968999999999994</v>
          </cell>
          <cell r="G74" t="str">
            <v>Ouvriers mécaniciens de véhicules</v>
          </cell>
          <cell r="H74" t="str">
            <v>G0B41 Ouvriers mécaniciens de véhicules</v>
          </cell>
        </row>
        <row r="75">
          <cell r="A75" t="str">
            <v>G1X70</v>
          </cell>
          <cell r="B75" t="str">
            <v>4 SECTEUR PRIVE</v>
          </cell>
          <cell r="C75">
            <v>567</v>
          </cell>
          <cell r="D75">
            <v>3415.7504472000001</v>
          </cell>
          <cell r="E75">
            <v>1909.94</v>
          </cell>
          <cell r="F75">
            <v>55.915999999999997</v>
          </cell>
          <cell r="G75" t="str">
            <v>Techniciens et agents de maîtrise en intervention technique en Hygiène Sécurité Environnement -HSE industriel et protection du patrimoine naturel</v>
          </cell>
          <cell r="H75" t="str">
            <v>G1X70 Techniciens et agents de maîtrise en intervention technique en Hygiène Sécurité Environnement -HSE industriel et protection du patrimoine naturel</v>
          </cell>
        </row>
        <row r="76">
          <cell r="A76" t="str">
            <v>G1X71</v>
          </cell>
          <cell r="B76" t="str">
            <v>4 SECTEUR PRIVE</v>
          </cell>
          <cell r="C76">
            <v>544</v>
          </cell>
          <cell r="D76">
            <v>3611.0189009999999</v>
          </cell>
          <cell r="E76">
            <v>2783.79</v>
          </cell>
          <cell r="F76">
            <v>77.091999999999999</v>
          </cell>
          <cell r="G76" t="str">
            <v>Techniciens et agents de maîtrise en maintenance de véhicules</v>
          </cell>
          <cell r="H76" t="str">
            <v>G1X71 Techniciens et agents de maîtrise en maintenance de véhicules</v>
          </cell>
        </row>
        <row r="77">
          <cell r="A77" t="str">
            <v>G1X72</v>
          </cell>
          <cell r="B77" t="str">
            <v>4 SECTEUR PRIVE</v>
          </cell>
          <cell r="C77">
            <v>762</v>
          </cell>
          <cell r="D77">
            <v>4512.5653947999999</v>
          </cell>
          <cell r="E77">
            <v>3175.29</v>
          </cell>
          <cell r="F77">
            <v>70.364999999999995</v>
          </cell>
          <cell r="G77" t="str">
            <v>Techniciens et agents de maîtrise en maintenance générale et mécanique industrielle</v>
          </cell>
          <cell r="H77" t="str">
            <v>G1X72 Techniciens et agents de maîtrise en maintenance générale et mécanique industrielle</v>
          </cell>
        </row>
        <row r="78">
          <cell r="A78" t="str">
            <v>G1X74</v>
          </cell>
          <cell r="B78" t="str">
            <v>4 SECTEUR PRIVE</v>
          </cell>
          <cell r="C78">
            <v>525</v>
          </cell>
          <cell r="D78">
            <v>4346.3255663999998</v>
          </cell>
          <cell r="E78">
            <v>3607.89</v>
          </cell>
          <cell r="F78">
            <v>83.01</v>
          </cell>
          <cell r="G78" t="str">
            <v>Techniciens et agents de maîtrise en installation et maintenance en froid et conditionnement d'air</v>
          </cell>
          <cell r="H78" t="str">
            <v>G1X74 Techniciens et agents de maîtrise en installation et maintenance en froid et conditionnement d'air</v>
          </cell>
        </row>
        <row r="79">
          <cell r="A79" t="str">
            <v>G1X75</v>
          </cell>
          <cell r="B79" t="str">
            <v>4 SECTEUR PRIVE</v>
          </cell>
          <cell r="C79">
            <v>259</v>
          </cell>
          <cell r="D79">
            <v>4493.6491161000004</v>
          </cell>
          <cell r="E79">
            <v>2955.25</v>
          </cell>
          <cell r="F79">
            <v>65.765000000000001</v>
          </cell>
          <cell r="G79" t="str">
            <v>Techniciens et agents de maîtrise en assistance et support technique client et en installation et maintenance télécoms et courants faibles</v>
          </cell>
          <cell r="H79" t="str">
            <v>G1X75 Techniciens et agents de maîtrise en assistance et support technique client et en installation et maintenance télécoms et courants faibles</v>
          </cell>
        </row>
        <row r="80">
          <cell r="A80" t="str">
            <v>G1X76</v>
          </cell>
          <cell r="B80" t="str">
            <v>4 SECTEUR PRIVE</v>
          </cell>
          <cell r="C80">
            <v>256</v>
          </cell>
          <cell r="D80">
            <v>2130.7864</v>
          </cell>
          <cell r="E80">
            <v>1519.98</v>
          </cell>
          <cell r="F80">
            <v>71.334000000000003</v>
          </cell>
          <cell r="G80" t="str">
            <v>Mainteniciens en biens électrodomestiques</v>
          </cell>
          <cell r="H80" t="str">
            <v>G1X76 Mainteniciens en biens électrodomestiques</v>
          </cell>
        </row>
        <row r="81">
          <cell r="A81" t="str">
            <v>G1X77</v>
          </cell>
          <cell r="B81" t="str">
            <v>4 SECTEUR PRIVE</v>
          </cell>
          <cell r="C81">
            <v>592</v>
          </cell>
          <cell r="D81">
            <v>3800.3097512999998</v>
          </cell>
          <cell r="E81">
            <v>3358.71</v>
          </cell>
          <cell r="F81">
            <v>88.38</v>
          </cell>
          <cell r="G81" t="str">
            <v>Techniciens et agents de maîtrise en maintenance électrique, électronique et automatismes</v>
          </cell>
          <cell r="H81" t="str">
            <v>G1X77 Techniciens et agents de maîtrise en maintenance électrique, électronique et automatismes</v>
          </cell>
        </row>
        <row r="82">
          <cell r="A82" t="str">
            <v>G1X78</v>
          </cell>
          <cell r="B82" t="str">
            <v>4 SECTEUR PRIVE</v>
          </cell>
          <cell r="C82">
            <v>120</v>
          </cell>
          <cell r="D82">
            <v>1088.7244601</v>
          </cell>
          <cell r="E82">
            <v>768.25</v>
          </cell>
          <cell r="F82">
            <v>70.564999999999998</v>
          </cell>
          <cell r="G82" t="str">
            <v>Techniciens et agents de maîtrise en distribution et assainissement d'eau et gestion des déchets</v>
          </cell>
          <cell r="H82" t="str">
            <v>G1X78 Techniciens et agents de maîtrise en distribution et assainissement d'eau et gestion des déchets</v>
          </cell>
        </row>
        <row r="83">
          <cell r="A83" t="str">
            <v>H0X40</v>
          </cell>
          <cell r="B83" t="str">
            <v>4 SECTEUR PRIVE</v>
          </cell>
          <cell r="C83">
            <v>545</v>
          </cell>
          <cell r="D83">
            <v>3224.615061</v>
          </cell>
          <cell r="E83">
            <v>1864.16</v>
          </cell>
          <cell r="F83">
            <v>57.81</v>
          </cell>
          <cell r="G83" t="str">
            <v>Ouvriers qualifiés du contrôle qualité et de laboratoire</v>
          </cell>
          <cell r="H83" t="str">
            <v>H0X40 Ouvriers qualifiés du contrôle qualité et de laboratoire</v>
          </cell>
        </row>
        <row r="84">
          <cell r="A84" t="str">
            <v>H0X90</v>
          </cell>
          <cell r="B84" t="str">
            <v>4 SECTEUR PRIVE</v>
          </cell>
          <cell r="C84">
            <v>1038</v>
          </cell>
          <cell r="D84">
            <v>7440.0248832999996</v>
          </cell>
          <cell r="E84">
            <v>1832.11</v>
          </cell>
          <cell r="F84">
            <v>24.625</v>
          </cell>
          <cell r="G84" t="str">
            <v>Techniciens du contrôle qualité</v>
          </cell>
          <cell r="H84" t="str">
            <v>H0X90 Techniciens du contrôle qualité</v>
          </cell>
        </row>
        <row r="85">
          <cell r="A85" t="str">
            <v>H0X91</v>
          </cell>
          <cell r="B85" t="str">
            <v>4 SECTEUR PRIVE</v>
          </cell>
          <cell r="C85">
            <v>320</v>
          </cell>
          <cell r="D85">
            <v>2053.3103323</v>
          </cell>
          <cell r="E85">
            <v>1612.84</v>
          </cell>
          <cell r="F85">
            <v>78.548000000000002</v>
          </cell>
          <cell r="G85" t="str">
            <v>Techniciens du dessin industriel</v>
          </cell>
          <cell r="H85" t="str">
            <v>H0X91 Techniciens du dessin industriel</v>
          </cell>
        </row>
        <row r="86">
          <cell r="A86" t="str">
            <v>H0X92</v>
          </cell>
          <cell r="B86" t="str">
            <v>4 SECTEUR PRIVE</v>
          </cell>
          <cell r="C86">
            <v>598</v>
          </cell>
          <cell r="D86">
            <v>3760.6987138</v>
          </cell>
          <cell r="E86">
            <v>1813.1</v>
          </cell>
          <cell r="F86">
            <v>48.212000000000003</v>
          </cell>
          <cell r="G86" t="str">
            <v>Techniciens et agents de maîtrise de la logistique, du planning, de l'ordonnancement et méthodes en industrialisation</v>
          </cell>
          <cell r="H86" t="str">
            <v>H0X92 Techniciens et agents de maîtrise de la logistique, du planning, de l'ordonnancement et méthodes en industrialisation</v>
          </cell>
        </row>
        <row r="87">
          <cell r="A87" t="str">
            <v>H1X90</v>
          </cell>
          <cell r="B87" t="str">
            <v>4 SECTEUR PRIVE</v>
          </cell>
          <cell r="C87">
            <v>788</v>
          </cell>
          <cell r="D87">
            <v>4646.2504798</v>
          </cell>
          <cell r="E87">
            <v>2779.86</v>
          </cell>
          <cell r="F87">
            <v>59.83</v>
          </cell>
          <cell r="G87" t="str">
            <v>Ingénieurs et cadres de fabrication et de la production</v>
          </cell>
          <cell r="H87" t="str">
            <v>H1X90 Ingénieurs et cadres de fabrication et de la production</v>
          </cell>
        </row>
        <row r="88">
          <cell r="A88" t="str">
            <v>H1X91</v>
          </cell>
          <cell r="B88" t="str">
            <v>4 SECTEUR PRIVE</v>
          </cell>
          <cell r="C88">
            <v>135</v>
          </cell>
          <cell r="D88">
            <v>824.98511771000005</v>
          </cell>
          <cell r="E88">
            <v>491.72</v>
          </cell>
          <cell r="F88">
            <v>59.603999999999999</v>
          </cell>
          <cell r="G88" t="str">
            <v>Ingénieurs et cadres techniques en Hygiène Sécurité Environnement -HSE- industriels et exploitation éco-industriel</v>
          </cell>
          <cell r="H88" t="str">
            <v>H1X91 Ingénieurs et cadres techniques en Hygiène Sécurité Environnement -HSE- industriels et exploitation éco-industriel</v>
          </cell>
        </row>
        <row r="89">
          <cell r="A89" t="str">
            <v>H1X92</v>
          </cell>
          <cell r="B89" t="str">
            <v>4 SECTEUR PRIVE</v>
          </cell>
          <cell r="C89">
            <v>154</v>
          </cell>
          <cell r="D89">
            <v>796.98330850000002</v>
          </cell>
          <cell r="E89">
            <v>580.59</v>
          </cell>
          <cell r="F89">
            <v>72.849000000000004</v>
          </cell>
          <cell r="G89" t="str">
            <v>Ingénieurs en maintenance et support technique client</v>
          </cell>
          <cell r="H89" t="str">
            <v>H1X92 Ingénieurs en maintenance et support technique client</v>
          </cell>
        </row>
        <row r="90">
          <cell r="A90" t="str">
            <v>H1X93</v>
          </cell>
          <cell r="B90" t="str">
            <v>4 SECTEUR PRIVE</v>
          </cell>
          <cell r="C90">
            <v>637</v>
          </cell>
          <cell r="D90">
            <v>3423.5065467999998</v>
          </cell>
          <cell r="E90">
            <v>2042.54</v>
          </cell>
          <cell r="F90">
            <v>59.661999999999999</v>
          </cell>
          <cell r="G90" t="str">
            <v>Ingénieurs des méthodes de production, du contrôle qualité</v>
          </cell>
          <cell r="H90" t="str">
            <v>H1X93 Ingénieurs des méthodes de production, du contrôle qualité</v>
          </cell>
        </row>
        <row r="91">
          <cell r="A91" t="str">
            <v>J0X30</v>
          </cell>
          <cell r="B91" t="str">
            <v>4 SECTEUR PRIVE</v>
          </cell>
          <cell r="C91">
            <v>1867</v>
          </cell>
          <cell r="D91">
            <v>26898.981881</v>
          </cell>
          <cell r="E91">
            <v>10535.8</v>
          </cell>
          <cell r="F91">
            <v>39.167999999999999</v>
          </cell>
          <cell r="G91" t="str">
            <v>Manutentionnaires et déménageurs peu qualifiés</v>
          </cell>
          <cell r="H91" t="str">
            <v>J0X30 Manutentionnaires et déménageurs peu qualifiés</v>
          </cell>
        </row>
        <row r="92">
          <cell r="A92" t="str">
            <v>J0X31</v>
          </cell>
          <cell r="B92" t="str">
            <v>4 SECTEUR PRIVE</v>
          </cell>
          <cell r="C92">
            <v>563</v>
          </cell>
          <cell r="D92">
            <v>5162.3002370000004</v>
          </cell>
          <cell r="E92">
            <v>3201.88</v>
          </cell>
          <cell r="F92">
            <v>62.024000000000001</v>
          </cell>
          <cell r="G92" t="str">
            <v>Manutentionnaires et déménageurs qualifiés</v>
          </cell>
          <cell r="H92" t="str">
            <v>J0X31 Manutentionnaires et déménageurs qualifiés</v>
          </cell>
        </row>
        <row r="93">
          <cell r="A93" t="str">
            <v>J0X32</v>
          </cell>
          <cell r="B93" t="str">
            <v>4 SECTEUR PRIVE</v>
          </cell>
          <cell r="C93">
            <v>836</v>
          </cell>
          <cell r="D93">
            <v>8468.9682021999997</v>
          </cell>
          <cell r="E93">
            <v>4242.8</v>
          </cell>
          <cell r="F93">
            <v>50.097999999999999</v>
          </cell>
          <cell r="G93" t="str">
            <v>Conducteurs d’engins légers de déplacement de charges, cariste</v>
          </cell>
          <cell r="H93" t="str">
            <v>J0X32 Conducteurs d’engins légers de déplacement de charges, cariste</v>
          </cell>
        </row>
        <row r="94">
          <cell r="A94" t="str">
            <v>J0X33</v>
          </cell>
          <cell r="B94" t="str">
            <v>4 SECTEUR PRIVE</v>
          </cell>
          <cell r="C94">
            <v>2138</v>
          </cell>
          <cell r="D94">
            <v>28322.135946999999</v>
          </cell>
          <cell r="E94">
            <v>13024.01</v>
          </cell>
          <cell r="F94">
            <v>45.984999999999999</v>
          </cell>
          <cell r="G94" t="str">
            <v>Magasiniers et préparateurs de commandes peu qualifiés</v>
          </cell>
          <cell r="H94" t="str">
            <v>J0X33 Magasiniers et préparateurs de commandes peu qualifiés</v>
          </cell>
        </row>
        <row r="95">
          <cell r="A95" t="str">
            <v>J0X34</v>
          </cell>
          <cell r="B95" t="str">
            <v>4 SECTEUR PRIVE</v>
          </cell>
          <cell r="C95">
            <v>1155</v>
          </cell>
          <cell r="D95">
            <v>10352.108910999999</v>
          </cell>
          <cell r="E95">
            <v>4968.45</v>
          </cell>
          <cell r="F95">
            <v>47.994999999999997</v>
          </cell>
          <cell r="G95" t="str">
            <v>Magasiniers et préparateurs de commande qualifiés</v>
          </cell>
          <cell r="H95" t="str">
            <v>J0X34 Magasiniers et préparateurs de commande qualifiés</v>
          </cell>
        </row>
        <row r="96">
          <cell r="A96" t="str">
            <v>J1X80</v>
          </cell>
          <cell r="B96" t="str">
            <v>4 SECTEUR PRIVE</v>
          </cell>
          <cell r="C96">
            <v>431</v>
          </cell>
          <cell r="D96">
            <v>2402.0818874000001</v>
          </cell>
          <cell r="E96">
            <v>1428.15</v>
          </cell>
          <cell r="F96">
            <v>59.454000000000001</v>
          </cell>
          <cell r="G96" t="str">
            <v>Responsable du magasinage et de la logistique (non cadres)</v>
          </cell>
          <cell r="H96" t="str">
            <v>J1X80 Responsable du magasinage et de la logistique (non cadres)</v>
          </cell>
        </row>
        <row r="97">
          <cell r="A97" t="str">
            <v>J2X40</v>
          </cell>
          <cell r="B97" t="str">
            <v>4 SECTEUR PRIVE</v>
          </cell>
          <cell r="C97">
            <v>1436</v>
          </cell>
          <cell r="D97">
            <v>6709.8437370000001</v>
          </cell>
          <cell r="E97">
            <v>2021.01</v>
          </cell>
          <cell r="F97">
            <v>30.12</v>
          </cell>
          <cell r="G97" t="str">
            <v>Facteurs et distributeurs de documents (non cadres)</v>
          </cell>
          <cell r="H97" t="str">
            <v>J2X40 Facteurs et distributeurs de documents (non cadres)</v>
          </cell>
        </row>
        <row r="98">
          <cell r="A98" t="str">
            <v>J3X40</v>
          </cell>
          <cell r="B98" t="str">
            <v>4 SECTEUR PRIVE</v>
          </cell>
          <cell r="C98">
            <v>1305</v>
          </cell>
          <cell r="D98">
            <v>16888.593687000001</v>
          </cell>
          <cell r="E98">
            <v>11415.4</v>
          </cell>
          <cell r="F98">
            <v>67.591999999999999</v>
          </cell>
          <cell r="G98" t="str">
            <v>Conducteurs de véhicules légers</v>
          </cell>
          <cell r="H98" t="str">
            <v>J3X40 Conducteurs de véhicules légers</v>
          </cell>
        </row>
        <row r="99">
          <cell r="A99" t="str">
            <v>J3X41</v>
          </cell>
          <cell r="B99" t="str">
            <v>4 SECTEUR PRIVE</v>
          </cell>
          <cell r="C99">
            <v>871</v>
          </cell>
          <cell r="D99">
            <v>16425.496681000001</v>
          </cell>
          <cell r="E99">
            <v>13057.69</v>
          </cell>
          <cell r="F99">
            <v>79.495999999999995</v>
          </cell>
          <cell r="G99" t="str">
            <v>Conducteurs de transport en commun sur route</v>
          </cell>
          <cell r="H99" t="str">
            <v>J3X41 Conducteurs de transport en commun sur route</v>
          </cell>
        </row>
        <row r="100">
          <cell r="A100" t="str">
            <v>J3X42</v>
          </cell>
          <cell r="B100" t="str">
            <v>4 SECTEUR PRIVE</v>
          </cell>
          <cell r="C100">
            <v>1909</v>
          </cell>
          <cell r="D100">
            <v>19268.828462000001</v>
          </cell>
          <cell r="E100">
            <v>9607.07</v>
          </cell>
          <cell r="F100">
            <v>49.857999999999997</v>
          </cell>
          <cell r="G100" t="str">
            <v>Conducteurs et livreurs sur courte distance (hors distribution de documents)</v>
          </cell>
          <cell r="H100" t="str">
            <v>J3X42 Conducteurs et livreurs sur courte distance (hors distribution de documents)</v>
          </cell>
        </row>
        <row r="101">
          <cell r="A101" t="str">
            <v>J3X43</v>
          </cell>
          <cell r="B101" t="str">
            <v>4 SECTEUR PRIVE</v>
          </cell>
          <cell r="C101">
            <v>2968</v>
          </cell>
          <cell r="D101">
            <v>28927.599002999999</v>
          </cell>
          <cell r="E101">
            <v>18083.47</v>
          </cell>
          <cell r="F101">
            <v>62.512999999999998</v>
          </cell>
          <cell r="G101" t="str">
            <v>Conducteurs routiers</v>
          </cell>
          <cell r="H101" t="str">
            <v>J3X43 Conducteurs routiers</v>
          </cell>
        </row>
        <row r="102">
          <cell r="A102" t="str">
            <v>J3X44</v>
          </cell>
          <cell r="B102" t="str">
            <v>4 SECTEUR PRIVE</v>
          </cell>
          <cell r="C102">
            <v>68</v>
          </cell>
          <cell r="D102">
            <v>1381.3955212000001</v>
          </cell>
          <cell r="E102">
            <v>624.42999999999995</v>
          </cell>
          <cell r="F102">
            <v>45.203000000000003</v>
          </cell>
          <cell r="G102" t="str">
            <v>Conducteurs sur rails et d'engins de traction</v>
          </cell>
          <cell r="H102" t="str">
            <v>J3X44 Conducteurs sur rails et d'engins de traction</v>
          </cell>
        </row>
        <row r="103">
          <cell r="A103" t="str">
            <v>J4X60</v>
          </cell>
          <cell r="B103" t="str">
            <v>4 SECTEUR PRIVE</v>
          </cell>
          <cell r="C103">
            <v>240</v>
          </cell>
          <cell r="D103">
            <v>4884.2943636</v>
          </cell>
          <cell r="E103">
            <v>2622.8</v>
          </cell>
          <cell r="F103">
            <v>53.698999999999998</v>
          </cell>
          <cell r="G103" t="str">
            <v>Agents et hôtesses d'accompagnement</v>
          </cell>
          <cell r="H103" t="str">
            <v>J4X60 Agents et hôtesses d'accompagnement</v>
          </cell>
        </row>
        <row r="104">
          <cell r="A104" t="str">
            <v>J4X62</v>
          </cell>
          <cell r="B104" t="str">
            <v>4 SECTEUR PRIVE</v>
          </cell>
          <cell r="C104">
            <v>364</v>
          </cell>
          <cell r="D104">
            <v>2962.9634058000001</v>
          </cell>
          <cell r="E104">
            <v>1150.96</v>
          </cell>
          <cell r="F104">
            <v>38.844999999999999</v>
          </cell>
          <cell r="G104" t="str">
            <v>Employés administratifs et commerciaux des transports</v>
          </cell>
          <cell r="H104" t="str">
            <v>J4X62 Employés administratifs et commerciaux des transports</v>
          </cell>
        </row>
        <row r="105">
          <cell r="A105" t="str">
            <v>J4X63</v>
          </cell>
          <cell r="B105" t="str">
            <v>4 SECTEUR PRIVE</v>
          </cell>
          <cell r="C105">
            <v>496</v>
          </cell>
          <cell r="D105">
            <v>6460.9641772000004</v>
          </cell>
          <cell r="E105">
            <v>2917.97</v>
          </cell>
          <cell r="F105">
            <v>45.162999999999997</v>
          </cell>
          <cell r="G105" t="str">
            <v>Employés du tourisme et agent de billetterie des transports</v>
          </cell>
          <cell r="H105" t="str">
            <v>J4X63 Employés du tourisme et agent de billetterie des transports</v>
          </cell>
        </row>
        <row r="106">
          <cell r="A106" t="str">
            <v>J5X40</v>
          </cell>
          <cell r="B106" t="str">
            <v>4 SECTEUR PRIVE</v>
          </cell>
          <cell r="C106">
            <v>592</v>
          </cell>
          <cell r="D106">
            <v>4831.5908526000003</v>
          </cell>
          <cell r="E106">
            <v>1902.66</v>
          </cell>
          <cell r="F106">
            <v>39.378999999999998</v>
          </cell>
          <cell r="G106" t="str">
            <v>Agents d'exploitation du transport</v>
          </cell>
          <cell r="H106" t="str">
            <v>J5X40 Agents d'exploitation du transport</v>
          </cell>
        </row>
        <row r="107">
          <cell r="A107" t="str">
            <v>J5X60</v>
          </cell>
          <cell r="B107" t="str">
            <v>4 SECTEUR PRIVE</v>
          </cell>
          <cell r="C107">
            <v>29</v>
          </cell>
          <cell r="D107">
            <v>392.54969</v>
          </cell>
          <cell r="E107">
            <v>147.28</v>
          </cell>
          <cell r="F107">
            <v>37.518999999999998</v>
          </cell>
          <cell r="G107" t="str">
            <v>Contrôleurs des transports</v>
          </cell>
          <cell r="H107" t="str">
            <v>J5X60 Contrôleurs des transports</v>
          </cell>
        </row>
        <row r="108">
          <cell r="A108" t="str">
            <v>J5X80</v>
          </cell>
          <cell r="B108" t="str">
            <v>4 SECTEUR PRIVE</v>
          </cell>
          <cell r="C108">
            <v>99</v>
          </cell>
          <cell r="D108">
            <v>570.05445336000002</v>
          </cell>
          <cell r="E108">
            <v>291.24</v>
          </cell>
          <cell r="F108">
            <v>51.09</v>
          </cell>
          <cell r="G108" t="str">
            <v>Techniciens d'exploitation et d'administration des transports</v>
          </cell>
          <cell r="H108" t="str">
            <v>J5X80 Techniciens d'exploitation et d'administration des transports</v>
          </cell>
        </row>
        <row r="109">
          <cell r="A109" t="str">
            <v>J5X81</v>
          </cell>
          <cell r="B109" t="str">
            <v>4 SECTEUR PRIVE</v>
          </cell>
          <cell r="C109">
            <v>48</v>
          </cell>
          <cell r="D109">
            <v>463.81433884</v>
          </cell>
          <cell r="E109">
            <v>141.43</v>
          </cell>
          <cell r="F109">
            <v>30.492000000000001</v>
          </cell>
          <cell r="G109" t="str">
            <v>Techniciens et agents de maîtrise du tourisme</v>
          </cell>
          <cell r="H109" t="str">
            <v>J5X81 Techniciens et agents de maîtrise du tourisme</v>
          </cell>
        </row>
        <row r="110">
          <cell r="A110" t="str">
            <v>J6X90</v>
          </cell>
          <cell r="B110" t="str">
            <v>4 SECTEUR PRIVE</v>
          </cell>
          <cell r="C110">
            <v>109</v>
          </cell>
          <cell r="D110">
            <v>860.62845606999997</v>
          </cell>
          <cell r="E110">
            <v>303.23</v>
          </cell>
          <cell r="F110">
            <v>35.234000000000002</v>
          </cell>
          <cell r="G110" t="str">
            <v>Cadres des transports et du tourisme</v>
          </cell>
          <cell r="H110" t="str">
            <v>J6X90 Cadres des transports et du tourisme</v>
          </cell>
        </row>
        <row r="111">
          <cell r="A111" t="str">
            <v>J6X91</v>
          </cell>
          <cell r="B111" t="str">
            <v>4 SECTEUR PRIVE</v>
          </cell>
          <cell r="C111">
            <v>19</v>
          </cell>
          <cell r="D111">
            <v>270.52177104999998</v>
          </cell>
          <cell r="E111">
            <v>199.82</v>
          </cell>
          <cell r="F111">
            <v>73.864000000000004</v>
          </cell>
          <cell r="G111" t="str">
            <v>Personnels techniques navigants de l’aviation</v>
          </cell>
          <cell r="H111" t="str">
            <v>J6X91 Personnels techniques navigants de l’aviation</v>
          </cell>
        </row>
        <row r="112">
          <cell r="A112" t="str">
            <v>J6X92</v>
          </cell>
          <cell r="B112" t="str">
            <v>4 SECTEUR PRIVE</v>
          </cell>
          <cell r="C112">
            <v>245</v>
          </cell>
          <cell r="D112">
            <v>1176.5354663999999</v>
          </cell>
          <cell r="E112">
            <v>393.14</v>
          </cell>
          <cell r="F112">
            <v>33.414999999999999</v>
          </cell>
          <cell r="G112" t="str">
            <v>Cadres de la logistique</v>
          </cell>
          <cell r="H112" t="str">
            <v>J6X92 Cadres de la logistique</v>
          </cell>
        </row>
        <row r="113">
          <cell r="A113" t="str">
            <v>K0X30</v>
          </cell>
          <cell r="B113" t="str">
            <v>4 SECTEUR PRIVE</v>
          </cell>
          <cell r="C113">
            <v>190</v>
          </cell>
          <cell r="D113">
            <v>2332.3060910999998</v>
          </cell>
          <cell r="E113">
            <v>1645.33</v>
          </cell>
          <cell r="F113">
            <v>70.545000000000002</v>
          </cell>
          <cell r="G113" t="str">
            <v>Artisans et ouvriers artisanaux</v>
          </cell>
          <cell r="H113" t="str">
            <v>K0X30 Artisans et ouvriers artisanaux</v>
          </cell>
        </row>
        <row r="114">
          <cell r="A114" t="str">
            <v>K0X32</v>
          </cell>
          <cell r="B114" t="str">
            <v>4 SECTEUR PRIVE</v>
          </cell>
          <cell r="C114">
            <v>226</v>
          </cell>
          <cell r="D114">
            <v>4588.8680728999998</v>
          </cell>
          <cell r="E114">
            <v>2629.51</v>
          </cell>
          <cell r="F114">
            <v>57.302</v>
          </cell>
          <cell r="G114" t="str">
            <v>Artisans et ouvriers de blanchisserie</v>
          </cell>
          <cell r="H114" t="str">
            <v>K0X32 Artisans et ouvriers de blanchisserie</v>
          </cell>
        </row>
        <row r="115">
          <cell r="A115" t="str">
            <v>L0X60</v>
          </cell>
          <cell r="B115" t="str">
            <v>4 SECTEUR PRIVE</v>
          </cell>
          <cell r="C115">
            <v>4967</v>
          </cell>
          <cell r="D115">
            <v>32245.33641</v>
          </cell>
          <cell r="E115">
            <v>12014.81</v>
          </cell>
          <cell r="F115">
            <v>37.261000000000003</v>
          </cell>
          <cell r="G115" t="str">
            <v>Secrétaires bureautiques et assimilés</v>
          </cell>
          <cell r="H115" t="str">
            <v>L0X60 Secrétaires bureautiques et assimilés</v>
          </cell>
        </row>
        <row r="116">
          <cell r="A116" t="str">
            <v>L1X60</v>
          </cell>
          <cell r="B116" t="str">
            <v>4 SECTEUR PRIVE</v>
          </cell>
          <cell r="C116">
            <v>3047</v>
          </cell>
          <cell r="D116">
            <v>19318.345573999999</v>
          </cell>
          <cell r="E116">
            <v>11877.15</v>
          </cell>
          <cell r="F116">
            <v>61.481000000000002</v>
          </cell>
          <cell r="G116" t="str">
            <v>Employés de la comptabilité</v>
          </cell>
          <cell r="H116" t="str">
            <v>L1X60 Employés de la comptabilité</v>
          </cell>
        </row>
        <row r="117">
          <cell r="A117" t="str">
            <v>L2X60</v>
          </cell>
          <cell r="B117" t="str">
            <v>4 SECTEUR PRIVE</v>
          </cell>
          <cell r="C117">
            <v>1768</v>
          </cell>
          <cell r="D117">
            <v>26999.573756000002</v>
          </cell>
          <cell r="E117">
            <v>12386.43</v>
          </cell>
          <cell r="F117">
            <v>45.875999999999998</v>
          </cell>
          <cell r="G117" t="str">
            <v>Agents d'accueil et d'information</v>
          </cell>
          <cell r="H117" t="str">
            <v>L2X60 Agents d'accueil et d'information</v>
          </cell>
        </row>
        <row r="118">
          <cell r="A118" t="str">
            <v>L2X61</v>
          </cell>
          <cell r="B118" t="str">
            <v>4 SECTEUR PRIVE</v>
          </cell>
          <cell r="C118">
            <v>3355</v>
          </cell>
          <cell r="D118">
            <v>25343.610455999999</v>
          </cell>
          <cell r="E118">
            <v>10080.36</v>
          </cell>
          <cell r="F118">
            <v>39.774999999999999</v>
          </cell>
          <cell r="G118" t="str">
            <v>Agents administratifs</v>
          </cell>
          <cell r="H118" t="str">
            <v>L2X61 Agents administratifs</v>
          </cell>
        </row>
        <row r="119">
          <cell r="A119" t="str">
            <v>L3X80</v>
          </cell>
          <cell r="B119" t="str">
            <v>4 SECTEUR PRIVE</v>
          </cell>
          <cell r="C119">
            <v>723</v>
          </cell>
          <cell r="D119">
            <v>4259.0847186000001</v>
          </cell>
          <cell r="E119">
            <v>1942.5</v>
          </cell>
          <cell r="F119">
            <v>45.607999999999997</v>
          </cell>
          <cell r="G119" t="str">
            <v>Secrétaires de direction</v>
          </cell>
          <cell r="H119" t="str">
            <v>L3X80 Secrétaires de direction</v>
          </cell>
        </row>
        <row r="120">
          <cell r="A120" t="str">
            <v>L4X80</v>
          </cell>
          <cell r="B120" t="str">
            <v>4 SECTEUR PRIVE</v>
          </cell>
          <cell r="C120">
            <v>1227</v>
          </cell>
          <cell r="D120">
            <v>7774.8136094000001</v>
          </cell>
          <cell r="E120">
            <v>3105.06</v>
          </cell>
          <cell r="F120">
            <v>39.936999999999998</v>
          </cell>
          <cell r="G120" t="str">
            <v>Techniciens des services administratifs</v>
          </cell>
          <cell r="H120" t="str">
            <v>L4X80 Techniciens des services administratifs</v>
          </cell>
        </row>
        <row r="121">
          <cell r="A121" t="str">
            <v>L4X81</v>
          </cell>
          <cell r="B121" t="str">
            <v>4 SECTEUR PRIVE</v>
          </cell>
          <cell r="C121">
            <v>688</v>
          </cell>
          <cell r="D121">
            <v>4568.2177786000002</v>
          </cell>
          <cell r="E121">
            <v>2695.43</v>
          </cell>
          <cell r="F121">
            <v>59.003999999999998</v>
          </cell>
          <cell r="G121" t="str">
            <v>Techniciens et agents de maîtrise des services financiers ou comptables</v>
          </cell>
          <cell r="H121" t="str">
            <v>L4X81 Techniciens et agents de maîtrise des services financiers ou comptables</v>
          </cell>
        </row>
        <row r="122">
          <cell r="A122" t="str">
            <v>L4X82</v>
          </cell>
          <cell r="B122" t="str">
            <v>4 SECTEUR PRIVE</v>
          </cell>
          <cell r="C122">
            <v>270</v>
          </cell>
          <cell r="D122">
            <v>1949.1908106999999</v>
          </cell>
          <cell r="E122">
            <v>766.87</v>
          </cell>
          <cell r="F122">
            <v>39.343000000000004</v>
          </cell>
          <cell r="G122" t="str">
            <v>Techniciens et agents de maîtrise chargés d'études socio-économiques</v>
          </cell>
          <cell r="H122" t="str">
            <v>L4X82 Techniciens et agents de maîtrise chargés d'études socio-économiques</v>
          </cell>
        </row>
        <row r="123">
          <cell r="A123" t="str">
            <v>L5X90</v>
          </cell>
          <cell r="B123" t="str">
            <v>4 SECTEUR PRIVE</v>
          </cell>
          <cell r="C123">
            <v>1667</v>
          </cell>
          <cell r="D123">
            <v>11828.276647999999</v>
          </cell>
          <cell r="E123">
            <v>5830.44</v>
          </cell>
          <cell r="F123">
            <v>49.292000000000002</v>
          </cell>
          <cell r="G123" t="str">
            <v>Cadres administratifs, comptables et financiers (hors juristes)</v>
          </cell>
          <cell r="H123" t="str">
            <v>L5X90 Cadres administratifs, comptables et financiers (hors juristes)</v>
          </cell>
        </row>
        <row r="124">
          <cell r="A124" t="str">
            <v>L5X91</v>
          </cell>
          <cell r="B124" t="str">
            <v>4 SECTEUR PRIVE</v>
          </cell>
          <cell r="C124">
            <v>502</v>
          </cell>
          <cell r="D124">
            <v>3656.3940204999999</v>
          </cell>
          <cell r="E124">
            <v>1711.51</v>
          </cell>
          <cell r="F124">
            <v>46.808999999999997</v>
          </cell>
          <cell r="G124" t="str">
            <v>Juristes et avocats</v>
          </cell>
          <cell r="H124" t="str">
            <v>L5X91 Juristes et avocats</v>
          </cell>
        </row>
        <row r="125">
          <cell r="A125" t="str">
            <v>L5X92</v>
          </cell>
          <cell r="B125" t="str">
            <v>4 SECTEUR PRIVE</v>
          </cell>
          <cell r="C125">
            <v>464</v>
          </cell>
          <cell r="D125">
            <v>2997.0931049000001</v>
          </cell>
          <cell r="E125">
            <v>1343.01</v>
          </cell>
          <cell r="F125">
            <v>44.81</v>
          </cell>
          <cell r="G125" t="str">
            <v>Cadres des ressources humaines et du recrutement</v>
          </cell>
          <cell r="H125" t="str">
            <v>L5X92 Cadres des ressources humaines et du recrutement</v>
          </cell>
        </row>
        <row r="126">
          <cell r="A126" t="str">
            <v>L5X93</v>
          </cell>
          <cell r="B126" t="str">
            <v>4 SECTEUR PRIVE</v>
          </cell>
          <cell r="C126">
            <v>183</v>
          </cell>
          <cell r="D126">
            <v>1677.77406</v>
          </cell>
          <cell r="E126">
            <v>839.97</v>
          </cell>
          <cell r="F126">
            <v>50.064</v>
          </cell>
          <cell r="G126" t="str">
            <v>Chargés d'études socio-économiques</v>
          </cell>
          <cell r="H126" t="str">
            <v>L5X93 Chargés d'études socio-économiques</v>
          </cell>
        </row>
        <row r="127">
          <cell r="A127" t="str">
            <v>L6X00</v>
          </cell>
          <cell r="B127" t="str">
            <v>4 SECTEUR PRIVE</v>
          </cell>
          <cell r="C127">
            <v>114</v>
          </cell>
          <cell r="D127">
            <v>706.33193027000004</v>
          </cell>
          <cell r="E127">
            <v>227.09</v>
          </cell>
          <cell r="F127">
            <v>32.151000000000003</v>
          </cell>
          <cell r="G127" t="str">
            <v>Dirigeants de petites et moyennes entreprises de moins de 50 salariés</v>
          </cell>
          <cell r="H127" t="str">
            <v>L6X00 Dirigeants de petites et moyennes entreprises de moins de 50 salariés</v>
          </cell>
        </row>
        <row r="128">
          <cell r="A128" t="str">
            <v>L6X90</v>
          </cell>
          <cell r="B128" t="str">
            <v>4 SECTEUR PRIVE</v>
          </cell>
          <cell r="C128">
            <v>62</v>
          </cell>
          <cell r="D128">
            <v>397.66100005999999</v>
          </cell>
          <cell r="E128">
            <v>233.43</v>
          </cell>
          <cell r="F128">
            <v>58.701000000000001</v>
          </cell>
          <cell r="G128" t="str">
            <v>Cadres dirigeants des grandes entreprises de plus de 50 salariés</v>
          </cell>
          <cell r="H128" t="str">
            <v>L6X90 Cadres dirigeants des grandes entreprises de plus de 50 salariés</v>
          </cell>
        </row>
        <row r="129">
          <cell r="A129" t="str">
            <v>M1X80</v>
          </cell>
          <cell r="B129" t="str">
            <v>4 SECTEUR PRIVE</v>
          </cell>
          <cell r="C129">
            <v>1478</v>
          </cell>
          <cell r="D129">
            <v>18348.997492999999</v>
          </cell>
          <cell r="E129">
            <v>11987.24</v>
          </cell>
          <cell r="F129">
            <v>65.328999999999994</v>
          </cell>
          <cell r="G129" t="str">
            <v>Techniciens d'étude et de développement en informatique</v>
          </cell>
          <cell r="H129" t="str">
            <v>M1X80 Techniciens d'étude et de développement en informatique</v>
          </cell>
        </row>
        <row r="130">
          <cell r="A130" t="str">
            <v>M1X81</v>
          </cell>
          <cell r="B130" t="str">
            <v>4 SECTEUR PRIVE</v>
          </cell>
          <cell r="C130">
            <v>1636</v>
          </cell>
          <cell r="D130">
            <v>14511.010666</v>
          </cell>
          <cell r="E130">
            <v>8445.73</v>
          </cell>
          <cell r="F130">
            <v>58.201999999999998</v>
          </cell>
          <cell r="G130" t="str">
            <v>Techniciens de production, d'exploitation, d'installation, et de maintenance, support et services aux utilisateurs en informatique</v>
          </cell>
          <cell r="H130" t="str">
            <v>M1X81 Techniciens de production, d'exploitation, d'installation, et de maintenance, support et services aux utilisateurs en informatique</v>
          </cell>
        </row>
        <row r="131">
          <cell r="A131" t="str">
            <v>M2X90</v>
          </cell>
          <cell r="B131" t="str">
            <v>4 SECTEUR PRIVE</v>
          </cell>
          <cell r="C131">
            <v>1492</v>
          </cell>
          <cell r="D131">
            <v>24244.523007</v>
          </cell>
          <cell r="E131">
            <v>16923.189999999999</v>
          </cell>
          <cell r="F131">
            <v>69.802000000000007</v>
          </cell>
          <cell r="G131" t="str">
            <v>Ingénieurs et cadres d'étude, recherche et développement en informatique et télécom</v>
          </cell>
          <cell r="H131" t="str">
            <v>M2X90 Ingénieurs et cadres d'étude, recherche et développement en informatique et télécom</v>
          </cell>
        </row>
        <row r="132">
          <cell r="A132" t="str">
            <v>M2X91</v>
          </cell>
          <cell r="B132" t="str">
            <v>4 SECTEUR PRIVE</v>
          </cell>
          <cell r="C132">
            <v>478</v>
          </cell>
          <cell r="D132">
            <v>3719.701536</v>
          </cell>
          <cell r="E132">
            <v>2187.61</v>
          </cell>
          <cell r="F132">
            <v>58.811</v>
          </cell>
          <cell r="G132" t="str">
            <v>Chefs de projet et directeurs de service informatique</v>
          </cell>
          <cell r="H132" t="str">
            <v>M2X91 Chefs de projet et directeurs de service informatique</v>
          </cell>
        </row>
        <row r="133">
          <cell r="A133" t="str">
            <v>M2X92</v>
          </cell>
          <cell r="B133" t="str">
            <v>4 SECTEUR PRIVE</v>
          </cell>
          <cell r="C133">
            <v>444</v>
          </cell>
          <cell r="D133">
            <v>4428.5871102999999</v>
          </cell>
          <cell r="E133">
            <v>1951.32</v>
          </cell>
          <cell r="F133">
            <v>44.061999999999998</v>
          </cell>
          <cell r="G133" t="str">
            <v>Responsables et cadres de la production, de l'exploitation et de la maintenance informatique et télécom</v>
          </cell>
          <cell r="H133" t="str">
            <v>M2X92 Responsables et cadres de la production, de l'exploitation et de la maintenance informatique et télécom</v>
          </cell>
        </row>
        <row r="134">
          <cell r="A134" t="str">
            <v>M2X93</v>
          </cell>
          <cell r="B134" t="str">
            <v>4 SECTEUR PRIVE</v>
          </cell>
          <cell r="C134">
            <v>590</v>
          </cell>
          <cell r="D134">
            <v>7668.0697086999999</v>
          </cell>
          <cell r="E134">
            <v>5301.96</v>
          </cell>
          <cell r="F134">
            <v>69.143000000000001</v>
          </cell>
          <cell r="G134" t="str">
            <v>Experts et consultants en systèmes d'information</v>
          </cell>
          <cell r="H134" t="str">
            <v>M2X93 Experts et consultants en systèmes d'information</v>
          </cell>
        </row>
        <row r="135">
          <cell r="A135" t="str">
            <v>N0X70</v>
          </cell>
          <cell r="B135" t="str">
            <v>4 SECTEUR PRIVE</v>
          </cell>
          <cell r="C135">
            <v>723</v>
          </cell>
          <cell r="D135">
            <v>5314.1360384999998</v>
          </cell>
          <cell r="E135">
            <v>3276.83</v>
          </cell>
          <cell r="F135">
            <v>61.662999999999997</v>
          </cell>
          <cell r="G135" t="str">
            <v>Techniciens d'étude, recherche et développement</v>
          </cell>
          <cell r="H135" t="str">
            <v>N0X70 Techniciens d'étude, recherche et développement</v>
          </cell>
        </row>
        <row r="136">
          <cell r="A136" t="str">
            <v>N1X90</v>
          </cell>
          <cell r="B136" t="str">
            <v>4 SECTEUR PRIVE</v>
          </cell>
          <cell r="C136">
            <v>1456</v>
          </cell>
          <cell r="D136">
            <v>16159.115889999999</v>
          </cell>
          <cell r="E136">
            <v>10148.25</v>
          </cell>
          <cell r="F136">
            <v>62.802</v>
          </cell>
          <cell r="G136" t="str">
            <v>Ingénieurs et cadres d'étude, recherche et développement (industrie)</v>
          </cell>
          <cell r="H136" t="str">
            <v>N1X90 Ingénieurs et cadres d'étude, recherche et développement (industrie)</v>
          </cell>
        </row>
        <row r="137">
          <cell r="A137" t="str">
            <v>N1X91</v>
          </cell>
          <cell r="B137" t="str">
            <v>4 SECTEUR PRIVE</v>
          </cell>
          <cell r="C137">
            <v>92</v>
          </cell>
          <cell r="D137">
            <v>820.59623066999995</v>
          </cell>
          <cell r="E137">
            <v>451.56</v>
          </cell>
          <cell r="F137">
            <v>55.027999999999999</v>
          </cell>
          <cell r="G137" t="str">
            <v>Chercheurs (sauf industrie et enseignement supérieur)</v>
          </cell>
          <cell r="H137" t="str">
            <v>N1X91 Chercheurs (sauf industrie et enseignement supérieur)</v>
          </cell>
        </row>
        <row r="138">
          <cell r="A138" t="str">
            <v>P3X90</v>
          </cell>
          <cell r="B138" t="str">
            <v>4 SECTEUR PRIVE</v>
          </cell>
          <cell r="C138">
            <v>196</v>
          </cell>
          <cell r="D138">
            <v>1401.7549105000001</v>
          </cell>
          <cell r="E138">
            <v>906.18</v>
          </cell>
          <cell r="F138">
            <v>64.646000000000001</v>
          </cell>
          <cell r="G138" t="str">
            <v>Professionnels du droit</v>
          </cell>
          <cell r="H138" t="str">
            <v>P3X90 Professionnels du droit</v>
          </cell>
        </row>
        <row r="139">
          <cell r="A139" t="str">
            <v>QAX01</v>
          </cell>
          <cell r="B139" t="str">
            <v>4 SECTEUR PRIVE</v>
          </cell>
          <cell r="C139">
            <v>102</v>
          </cell>
          <cell r="D139">
            <v>1108.9158855999999</v>
          </cell>
          <cell r="E139">
            <v>360.81</v>
          </cell>
          <cell r="F139">
            <v>32.536999999999999</v>
          </cell>
          <cell r="G139" t="str">
            <v>Experts de la finance</v>
          </cell>
          <cell r="H139" t="str">
            <v>QAX01 Experts de la finance</v>
          </cell>
        </row>
        <row r="140">
          <cell r="A140" t="str">
            <v>QAX02</v>
          </cell>
          <cell r="B140" t="str">
            <v>4 SECTEUR PRIVE</v>
          </cell>
          <cell r="C140">
            <v>199</v>
          </cell>
          <cell r="D140">
            <v>6022.4951927000002</v>
          </cell>
          <cell r="E140">
            <v>1123.44</v>
          </cell>
          <cell r="F140">
            <v>18.654</v>
          </cell>
          <cell r="G140" t="str">
            <v>Experts de la banque</v>
          </cell>
          <cell r="H140" t="str">
            <v>QAX02 Experts de la banque</v>
          </cell>
        </row>
        <row r="141">
          <cell r="A141" t="str">
            <v>QAX03</v>
          </cell>
          <cell r="B141" t="str">
            <v>4 SECTEUR PRIVE</v>
          </cell>
          <cell r="C141">
            <v>152</v>
          </cell>
          <cell r="D141">
            <v>2591.9614437</v>
          </cell>
          <cell r="E141">
            <v>1026.02</v>
          </cell>
          <cell r="F141">
            <v>39.585000000000001</v>
          </cell>
          <cell r="G141" t="str">
            <v>Experts de l'assurance</v>
          </cell>
          <cell r="H141" t="str">
            <v>QAX03 Experts de l'assurance</v>
          </cell>
        </row>
        <row r="142">
          <cell r="A142" t="str">
            <v>QBX01</v>
          </cell>
          <cell r="B142" t="str">
            <v>4 SECTEUR PRIVE</v>
          </cell>
          <cell r="C142">
            <v>290</v>
          </cell>
          <cell r="D142">
            <v>4139.7631660999996</v>
          </cell>
          <cell r="E142">
            <v>1558.55</v>
          </cell>
          <cell r="F142">
            <v>37.648000000000003</v>
          </cell>
          <cell r="G142" t="str">
            <v>Gestionnaires de la banque et de l'assurance</v>
          </cell>
          <cell r="H142" t="str">
            <v>QBX01 Gestionnaires de la banque et de l'assurance</v>
          </cell>
        </row>
        <row r="143">
          <cell r="A143" t="str">
            <v>QCX01</v>
          </cell>
          <cell r="B143" t="str">
            <v>4 SECTEUR PRIVE</v>
          </cell>
          <cell r="C143">
            <v>2165</v>
          </cell>
          <cell r="D143">
            <v>8344.0533680999997</v>
          </cell>
          <cell r="E143">
            <v>6976.51</v>
          </cell>
          <cell r="F143">
            <v>83.611000000000004</v>
          </cell>
          <cell r="G143" t="str">
            <v>Employés et techniciens commerciaux de la banque</v>
          </cell>
          <cell r="H143" t="str">
            <v>QCX01 Employés et techniciens commerciaux de la banque</v>
          </cell>
        </row>
        <row r="144">
          <cell r="A144" t="str">
            <v>QCX02</v>
          </cell>
          <cell r="B144" t="str">
            <v>4 SECTEUR PRIVE</v>
          </cell>
          <cell r="C144">
            <v>812</v>
          </cell>
          <cell r="D144">
            <v>5741.2144043999997</v>
          </cell>
          <cell r="E144">
            <v>2195.04</v>
          </cell>
          <cell r="F144">
            <v>38.232999999999997</v>
          </cell>
          <cell r="G144" t="str">
            <v>Cadres et indépendants commerciaux de la banque</v>
          </cell>
          <cell r="H144" t="str">
            <v>QCX02 Cadres et indépendants commerciaux de la banque</v>
          </cell>
        </row>
        <row r="145">
          <cell r="A145" t="str">
            <v>QDX01</v>
          </cell>
          <cell r="B145" t="str">
            <v>4 SECTEUR PRIVE</v>
          </cell>
          <cell r="C145">
            <v>969</v>
          </cell>
          <cell r="D145">
            <v>10484.393104000001</v>
          </cell>
          <cell r="E145">
            <v>4571.6899999999996</v>
          </cell>
          <cell r="F145">
            <v>43.604999999999997</v>
          </cell>
          <cell r="G145" t="str">
            <v>Employés et techniciens commerciaux des assurances</v>
          </cell>
          <cell r="H145" t="str">
            <v>QDX01 Employés et techniciens commerciaux des assurances</v>
          </cell>
        </row>
        <row r="146">
          <cell r="A146" t="str">
            <v>QDX02</v>
          </cell>
          <cell r="B146" t="str">
            <v>4 SECTEUR PRIVE</v>
          </cell>
          <cell r="C146">
            <v>96</v>
          </cell>
          <cell r="D146">
            <v>1171.8787525</v>
          </cell>
          <cell r="E146">
            <v>429.8</v>
          </cell>
          <cell r="F146">
            <v>36.676000000000002</v>
          </cell>
          <cell r="G146" t="str">
            <v>Cadres et indépendants commerciaux des assurances</v>
          </cell>
          <cell r="H146" t="str">
            <v>QDX02 Cadres et indépendants commerciaux des assurances</v>
          </cell>
        </row>
        <row r="147">
          <cell r="A147" t="str">
            <v>QEX01</v>
          </cell>
          <cell r="B147" t="str">
            <v>4 SECTEUR PRIVE</v>
          </cell>
          <cell r="C147">
            <v>73</v>
          </cell>
          <cell r="D147">
            <v>316.16193850000002</v>
          </cell>
          <cell r="E147">
            <v>96.22</v>
          </cell>
          <cell r="F147">
            <v>30.433</v>
          </cell>
          <cell r="G147" t="str">
            <v>Managers en banque assurance</v>
          </cell>
          <cell r="H147" t="str">
            <v>QEX01 Managers en banque assurance</v>
          </cell>
        </row>
        <row r="148">
          <cell r="A148" t="str">
            <v>R0X60</v>
          </cell>
          <cell r="B148" t="str">
            <v>4 SECTEUR PRIVE</v>
          </cell>
          <cell r="C148">
            <v>4162</v>
          </cell>
          <cell r="D148">
            <v>58726.580843999996</v>
          </cell>
          <cell r="E148">
            <v>25826.83</v>
          </cell>
          <cell r="F148">
            <v>43.978000000000002</v>
          </cell>
          <cell r="G148" t="str">
            <v>Employés de libre service</v>
          </cell>
          <cell r="H148" t="str">
            <v>R0X60 Employés de libre service</v>
          </cell>
        </row>
        <row r="149">
          <cell r="A149" t="str">
            <v>R0X61</v>
          </cell>
          <cell r="B149" t="str">
            <v>4 SECTEUR PRIVE</v>
          </cell>
          <cell r="C149">
            <v>2726</v>
          </cell>
          <cell r="D149">
            <v>32295.128360999999</v>
          </cell>
          <cell r="E149">
            <v>12586.48</v>
          </cell>
          <cell r="F149">
            <v>38.972999999999999</v>
          </cell>
          <cell r="G149" t="str">
            <v>Caissiers</v>
          </cell>
          <cell r="H149" t="str">
            <v>R0X61 Caissiers</v>
          </cell>
        </row>
        <row r="150">
          <cell r="A150" t="str">
            <v>R1X60</v>
          </cell>
          <cell r="B150" t="str">
            <v>4 SECTEUR PRIVE</v>
          </cell>
          <cell r="C150">
            <v>3640</v>
          </cell>
          <cell r="D150">
            <v>37368.770797999998</v>
          </cell>
          <cell r="E150">
            <v>17878.29</v>
          </cell>
          <cell r="F150">
            <v>47.843000000000004</v>
          </cell>
          <cell r="G150" t="str">
            <v>Vendeurs en produits alimentaires</v>
          </cell>
          <cell r="H150" t="str">
            <v>R1X60 Vendeurs en produits alimentaires</v>
          </cell>
        </row>
        <row r="151">
          <cell r="A151" t="str">
            <v>R1X61</v>
          </cell>
          <cell r="B151" t="str">
            <v>4 SECTEUR PRIVE</v>
          </cell>
          <cell r="C151">
            <v>1506</v>
          </cell>
          <cell r="D151">
            <v>12889.460372</v>
          </cell>
          <cell r="E151">
            <v>5915.95</v>
          </cell>
          <cell r="F151">
            <v>45.898000000000003</v>
          </cell>
          <cell r="G151" t="str">
            <v>Vendeurs en ameublement, équipement du foyer, bricolage</v>
          </cell>
          <cell r="H151" t="str">
            <v>R1X61 Vendeurs en ameublement, équipement du foyer, bricolage</v>
          </cell>
        </row>
        <row r="152">
          <cell r="A152" t="str">
            <v>R1X62</v>
          </cell>
          <cell r="B152" t="str">
            <v>4 SECTEUR PRIVE</v>
          </cell>
          <cell r="C152">
            <v>2842</v>
          </cell>
          <cell r="D152">
            <v>32790.489874999999</v>
          </cell>
          <cell r="E152">
            <v>14335.75</v>
          </cell>
          <cell r="F152">
            <v>43.719000000000001</v>
          </cell>
          <cell r="G152" t="str">
            <v>Vendeurs en habillement et accessoires, articles de luxe, de sport, de loisirs et culturels</v>
          </cell>
          <cell r="H152" t="str">
            <v>R1X62 Vendeurs en habillement et accessoires, articles de luxe, de sport, de loisirs et culturels</v>
          </cell>
        </row>
        <row r="153">
          <cell r="A153" t="str">
            <v>R1X67</v>
          </cell>
          <cell r="B153" t="str">
            <v>4 SECTEUR PRIVE</v>
          </cell>
          <cell r="C153">
            <v>545</v>
          </cell>
          <cell r="D153">
            <v>16114.040842</v>
          </cell>
          <cell r="E153">
            <v>8552.9</v>
          </cell>
          <cell r="F153">
            <v>53.076999999999998</v>
          </cell>
          <cell r="G153" t="str">
            <v>Télévendeurs et téléconseillers</v>
          </cell>
          <cell r="H153" t="str">
            <v>R1X67 Télévendeurs et téléconseillers</v>
          </cell>
        </row>
        <row r="154">
          <cell r="A154" t="str">
            <v>R1X68</v>
          </cell>
          <cell r="B154" t="str">
            <v>4 SECTEUR PRIVE</v>
          </cell>
          <cell r="C154">
            <v>781</v>
          </cell>
          <cell r="D154">
            <v>4943.0341351999996</v>
          </cell>
          <cell r="E154">
            <v>2149.62</v>
          </cell>
          <cell r="F154">
            <v>43.488</v>
          </cell>
          <cell r="G154" t="str">
            <v>Employés des services commerciaux</v>
          </cell>
          <cell r="H154" t="str">
            <v>R1X68 Employés des services commerciaux</v>
          </cell>
        </row>
        <row r="155">
          <cell r="A155" t="str">
            <v>R2X80</v>
          </cell>
          <cell r="B155" t="str">
            <v>4 SECTEUR PRIVE</v>
          </cell>
          <cell r="C155">
            <v>3571</v>
          </cell>
          <cell r="D155">
            <v>28096.662910999999</v>
          </cell>
          <cell r="E155">
            <v>14897.2</v>
          </cell>
          <cell r="F155">
            <v>53.021000000000001</v>
          </cell>
          <cell r="G155" t="str">
            <v>Attachés commerciaux</v>
          </cell>
          <cell r="H155" t="str">
            <v>R2X80 Attachés commerciaux</v>
          </cell>
        </row>
        <row r="156">
          <cell r="A156" t="str">
            <v>R2X83</v>
          </cell>
          <cell r="B156" t="str">
            <v>4 SECTEUR PRIVE</v>
          </cell>
          <cell r="C156">
            <v>281</v>
          </cell>
          <cell r="D156">
            <v>3797.0055275</v>
          </cell>
          <cell r="E156">
            <v>2460.1999999999998</v>
          </cell>
          <cell r="F156">
            <v>64.793000000000006</v>
          </cell>
          <cell r="G156" t="str">
            <v>Représentants auprès des particuliers</v>
          </cell>
          <cell r="H156" t="str">
            <v>R2X83 Représentants auprès des particuliers</v>
          </cell>
        </row>
        <row r="157">
          <cell r="A157" t="str">
            <v>R3X80</v>
          </cell>
          <cell r="B157" t="str">
            <v>4 SECTEUR PRIVE</v>
          </cell>
          <cell r="C157">
            <v>1000</v>
          </cell>
          <cell r="D157">
            <v>7061.5347179999999</v>
          </cell>
          <cell r="E157">
            <v>2301.9499999999998</v>
          </cell>
          <cell r="F157">
            <v>32.597999999999999</v>
          </cell>
          <cell r="G157" t="str">
            <v>Maîtrise des magasins</v>
          </cell>
          <cell r="H157" t="str">
            <v>R3X80 Maîtrise des magasins</v>
          </cell>
        </row>
        <row r="158">
          <cell r="A158" t="str">
            <v>R3X82</v>
          </cell>
          <cell r="B158" t="str">
            <v>4 SECTEUR PRIVE</v>
          </cell>
          <cell r="C158">
            <v>187</v>
          </cell>
          <cell r="D158">
            <v>1026.0759638</v>
          </cell>
          <cell r="E158">
            <v>351.96</v>
          </cell>
          <cell r="F158">
            <v>34.301000000000002</v>
          </cell>
          <cell r="G158" t="str">
            <v>Professions intermédiaires commerciales des achats</v>
          </cell>
          <cell r="H158" t="str">
            <v>R3X82 Professions intermédiaires commerciales des achats</v>
          </cell>
        </row>
        <row r="159">
          <cell r="A159" t="str">
            <v>R3X83</v>
          </cell>
          <cell r="B159" t="str">
            <v>4 SECTEUR PRIVE</v>
          </cell>
          <cell r="C159">
            <v>536</v>
          </cell>
          <cell r="D159">
            <v>3864.5298833000002</v>
          </cell>
          <cell r="E159">
            <v>1450.5</v>
          </cell>
          <cell r="F159">
            <v>37.533999999999999</v>
          </cell>
          <cell r="G159" t="str">
            <v>Professions intermédiaires du marketing et des services commerciaux (hors achats)</v>
          </cell>
          <cell r="H159" t="str">
            <v>R3X83 Professions intermédiaires du marketing et des services commerciaux (hors achats)</v>
          </cell>
        </row>
        <row r="160">
          <cell r="A160" t="str">
            <v>R3X84</v>
          </cell>
          <cell r="B160" t="str">
            <v>4 SECTEUR PRIVE</v>
          </cell>
          <cell r="C160">
            <v>988</v>
          </cell>
          <cell r="D160">
            <v>9959.8531419999999</v>
          </cell>
          <cell r="E160">
            <v>6394.36</v>
          </cell>
          <cell r="F160">
            <v>64.200999999999993</v>
          </cell>
          <cell r="G160" t="str">
            <v>Employés et professions intermédiaires de l'immobilier</v>
          </cell>
          <cell r="H160" t="str">
            <v>R3X84 Employés et professions intermédiaires de l'immobilier</v>
          </cell>
        </row>
        <row r="161">
          <cell r="A161" t="str">
            <v>R4X90</v>
          </cell>
          <cell r="B161" t="str">
            <v>4 SECTEUR PRIVE</v>
          </cell>
          <cell r="C161">
            <v>1332</v>
          </cell>
          <cell r="D161">
            <v>9428.3894548999997</v>
          </cell>
          <cell r="E161">
            <v>4474.1000000000004</v>
          </cell>
          <cell r="F161">
            <v>47.454000000000001</v>
          </cell>
          <cell r="G161" t="str">
            <v>Cadres commerciaux, acheteurs et cadres de la mercatique</v>
          </cell>
          <cell r="H161" t="str">
            <v>R4X90 Cadres commerciaux, acheteurs et cadres de la mercatique</v>
          </cell>
        </row>
        <row r="162">
          <cell r="A162" t="str">
            <v>R4X91</v>
          </cell>
          <cell r="B162" t="str">
            <v>4 SECTEUR PRIVE</v>
          </cell>
          <cell r="C162">
            <v>1895</v>
          </cell>
          <cell r="D162">
            <v>12722.297753000001</v>
          </cell>
          <cell r="E162">
            <v>6465.94</v>
          </cell>
          <cell r="F162">
            <v>50.823999999999998</v>
          </cell>
          <cell r="G162" t="str">
            <v>Technico-commerciaux</v>
          </cell>
          <cell r="H162" t="str">
            <v>R4X91 Technico-commerciaux</v>
          </cell>
        </row>
        <row r="163">
          <cell r="A163" t="str">
            <v>R4X92</v>
          </cell>
          <cell r="B163" t="str">
            <v>4 SECTEUR PRIVE</v>
          </cell>
          <cell r="C163">
            <v>1014</v>
          </cell>
          <cell r="D163">
            <v>4679.5120736999997</v>
          </cell>
          <cell r="E163">
            <v>990.3</v>
          </cell>
          <cell r="F163">
            <v>21.163</v>
          </cell>
          <cell r="G163" t="str">
            <v>Cadres du management des magasins</v>
          </cell>
          <cell r="H163" t="str">
            <v>R4X92 Cadres du management des magasins</v>
          </cell>
        </row>
        <row r="164">
          <cell r="A164" t="str">
            <v>R4X93</v>
          </cell>
          <cell r="B164" t="str">
            <v>4 SECTEUR PRIVE</v>
          </cell>
          <cell r="C164">
            <v>351</v>
          </cell>
          <cell r="D164">
            <v>2853.3827818999998</v>
          </cell>
          <cell r="E164">
            <v>566.9</v>
          </cell>
          <cell r="F164">
            <v>19.867999999999999</v>
          </cell>
          <cell r="G164" t="str">
            <v>Cadres agents immobiliers et syndics</v>
          </cell>
          <cell r="H164" t="str">
            <v>R4X93 Cadres agents immobiliers et syndics</v>
          </cell>
        </row>
        <row r="165">
          <cell r="A165" t="str">
            <v>S0X40</v>
          </cell>
          <cell r="B165" t="str">
            <v>4 SECTEUR PRIVE</v>
          </cell>
          <cell r="C165">
            <v>1252</v>
          </cell>
          <cell r="D165">
            <v>7533.0337520000003</v>
          </cell>
          <cell r="E165">
            <v>5536.14</v>
          </cell>
          <cell r="F165">
            <v>73.492000000000004</v>
          </cell>
          <cell r="G165" t="str">
            <v>Bouchers</v>
          </cell>
          <cell r="H165" t="str">
            <v>S0X40 Bouchers</v>
          </cell>
        </row>
        <row r="166">
          <cell r="A166" t="str">
            <v>S0X41</v>
          </cell>
          <cell r="B166" t="str">
            <v>4 SECTEUR PRIVE</v>
          </cell>
          <cell r="C166">
            <v>326</v>
          </cell>
          <cell r="D166">
            <v>2167.8150770000002</v>
          </cell>
          <cell r="E166">
            <v>1405.37</v>
          </cell>
          <cell r="F166">
            <v>64.828999999999994</v>
          </cell>
          <cell r="G166" t="str">
            <v>Charcutiers, traiteurs</v>
          </cell>
          <cell r="H166" t="str">
            <v>S0X41 Charcutiers, traiteurs</v>
          </cell>
        </row>
        <row r="167">
          <cell r="A167" t="str">
            <v>S0X42</v>
          </cell>
          <cell r="B167" t="str">
            <v>4 SECTEUR PRIVE</v>
          </cell>
          <cell r="C167">
            <v>2264</v>
          </cell>
          <cell r="D167">
            <v>18913.345775000002</v>
          </cell>
          <cell r="E167">
            <v>12379.88</v>
          </cell>
          <cell r="F167">
            <v>65.456000000000003</v>
          </cell>
          <cell r="G167" t="str">
            <v>Boulangers, pâtissiers</v>
          </cell>
          <cell r="H167" t="str">
            <v>S0X42 Boulangers, pâtissiers</v>
          </cell>
        </row>
        <row r="168">
          <cell r="A168" t="str">
            <v>S1X20</v>
          </cell>
          <cell r="B168" t="str">
            <v>4 SECTEUR PRIVE</v>
          </cell>
          <cell r="C168">
            <v>7280</v>
          </cell>
          <cell r="D168">
            <v>107725.62003999999</v>
          </cell>
          <cell r="E168">
            <v>61352.800000000003</v>
          </cell>
          <cell r="F168">
            <v>56.953000000000003</v>
          </cell>
          <cell r="G168" t="str">
            <v>Aides de cuisine et employés polyvalents de la restauration</v>
          </cell>
          <cell r="H168" t="str">
            <v>S1X20 Aides de cuisine et employés polyvalents de la restauration</v>
          </cell>
        </row>
        <row r="169">
          <cell r="A169" t="str">
            <v>S1X40</v>
          </cell>
          <cell r="B169" t="str">
            <v>4 SECTEUR PRIVE</v>
          </cell>
          <cell r="C169">
            <v>6100</v>
          </cell>
          <cell r="D169">
            <v>65609.028359000004</v>
          </cell>
          <cell r="E169">
            <v>44779.14</v>
          </cell>
          <cell r="F169">
            <v>68.251000000000005</v>
          </cell>
          <cell r="G169" t="str">
            <v>Cuisiniers</v>
          </cell>
          <cell r="H169" t="str">
            <v>S1X40 Cuisiniers</v>
          </cell>
        </row>
        <row r="170">
          <cell r="A170" t="str">
            <v>S1X80</v>
          </cell>
          <cell r="B170" t="str">
            <v>4 SECTEUR PRIVE</v>
          </cell>
          <cell r="C170">
            <v>1087</v>
          </cell>
          <cell r="D170">
            <v>8113.6869296000004</v>
          </cell>
          <cell r="E170">
            <v>5784.48</v>
          </cell>
          <cell r="F170">
            <v>71.293000000000006</v>
          </cell>
          <cell r="G170" t="str">
            <v>Chefs cuisiniers</v>
          </cell>
          <cell r="H170" t="str">
            <v>S1X80 Chefs cuisiniers</v>
          </cell>
        </row>
        <row r="171">
          <cell r="A171" t="str">
            <v>S2X60</v>
          </cell>
          <cell r="B171" t="str">
            <v>4 SECTEUR PRIVE</v>
          </cell>
          <cell r="C171">
            <v>3525</v>
          </cell>
          <cell r="D171">
            <v>55906.480485</v>
          </cell>
          <cell r="E171">
            <v>32703.79</v>
          </cell>
          <cell r="F171">
            <v>58.497</v>
          </cell>
          <cell r="G171" t="str">
            <v>Employés de l'hôtellerie</v>
          </cell>
          <cell r="H171" t="str">
            <v>S2X60 Employés de l'hôtellerie</v>
          </cell>
        </row>
        <row r="172">
          <cell r="A172" t="str">
            <v>S2X61</v>
          </cell>
          <cell r="B172" t="str">
            <v>4 SECTEUR PRIVE</v>
          </cell>
          <cell r="C172">
            <v>7849</v>
          </cell>
          <cell r="D172">
            <v>121791.05804</v>
          </cell>
          <cell r="E172">
            <v>72768.3</v>
          </cell>
          <cell r="F172">
            <v>59.747999999999998</v>
          </cell>
          <cell r="G172" t="str">
            <v>Serveurs de cafés restaurants</v>
          </cell>
          <cell r="H172" t="str">
            <v>S2X61 Serveurs de cafés restaurants</v>
          </cell>
        </row>
        <row r="173">
          <cell r="A173" t="str">
            <v>S2X80</v>
          </cell>
          <cell r="B173" t="str">
            <v>4 SECTEUR PRIVE</v>
          </cell>
          <cell r="C173">
            <v>773</v>
          </cell>
          <cell r="D173">
            <v>7784.8471077000004</v>
          </cell>
          <cell r="E173">
            <v>4244.34</v>
          </cell>
          <cell r="F173">
            <v>54.521000000000001</v>
          </cell>
          <cell r="G173" t="str">
            <v>Agents de maîtrise de la restauration</v>
          </cell>
          <cell r="H173" t="str">
            <v>S2X80 Agents de maîtrise de la restauration</v>
          </cell>
        </row>
        <row r="174">
          <cell r="A174" t="str">
            <v>S2X81</v>
          </cell>
          <cell r="B174" t="str">
            <v>4 SECTEUR PRIVE</v>
          </cell>
          <cell r="C174">
            <v>412</v>
          </cell>
          <cell r="D174">
            <v>4030.4223526000001</v>
          </cell>
          <cell r="E174">
            <v>2110.0500000000002</v>
          </cell>
          <cell r="F174">
            <v>52.353000000000002</v>
          </cell>
          <cell r="G174" t="str">
            <v>Agents de maîtrise de l'hôtellerie et de la gestion des structures de loisirs</v>
          </cell>
          <cell r="H174" t="str">
            <v>S2X81 Agents de maîtrise de l'hôtellerie et de la gestion des structures de loisirs</v>
          </cell>
        </row>
        <row r="175">
          <cell r="A175" t="str">
            <v>S3X90</v>
          </cell>
          <cell r="B175" t="str">
            <v>4 SECTEUR PRIVE</v>
          </cell>
          <cell r="C175">
            <v>484</v>
          </cell>
          <cell r="D175">
            <v>3701.0026272</v>
          </cell>
          <cell r="E175">
            <v>2180.7199999999998</v>
          </cell>
          <cell r="F175">
            <v>58.921999999999997</v>
          </cell>
          <cell r="G175" t="str">
            <v>Patrons et cadres de l’hôtellerie et de la restauration</v>
          </cell>
          <cell r="H175" t="str">
            <v>S3X90 Patrons et cadres de l’hôtellerie et de la restauration</v>
          </cell>
        </row>
        <row r="176">
          <cell r="A176" t="str">
            <v>T0X60</v>
          </cell>
          <cell r="B176" t="str">
            <v>4 SECTEUR PRIVE</v>
          </cell>
          <cell r="C176">
            <v>1888</v>
          </cell>
          <cell r="D176">
            <v>21523.804902</v>
          </cell>
          <cell r="E176">
            <v>15631.5</v>
          </cell>
          <cell r="F176">
            <v>72.623999999999995</v>
          </cell>
          <cell r="G176" t="str">
            <v>Coiffeurs, esthéticiens</v>
          </cell>
          <cell r="H176" t="str">
            <v>T0X60 Coiffeurs, esthéticiens</v>
          </cell>
        </row>
        <row r="177">
          <cell r="A177" t="str">
            <v>T1X60</v>
          </cell>
          <cell r="B177" t="str">
            <v>4 SECTEUR PRIVE</v>
          </cell>
          <cell r="C177">
            <v>2610</v>
          </cell>
          <cell r="D177">
            <v>40018.800248</v>
          </cell>
          <cell r="E177">
            <v>28885.79</v>
          </cell>
          <cell r="F177">
            <v>72.180999999999997</v>
          </cell>
          <cell r="G177" t="str">
            <v>Personnels de ménage chez des particuliers</v>
          </cell>
          <cell r="H177" t="str">
            <v>T1X60 Personnels de ménage chez des particuliers</v>
          </cell>
        </row>
        <row r="178">
          <cell r="A178" t="str">
            <v>T2A60</v>
          </cell>
          <cell r="B178" t="str">
            <v>4 SECTEUR PRIVE</v>
          </cell>
          <cell r="C178">
            <v>3358</v>
          </cell>
          <cell r="D178">
            <v>62217.179788000001</v>
          </cell>
          <cell r="E178">
            <v>52557.62</v>
          </cell>
          <cell r="F178">
            <v>84.474000000000004</v>
          </cell>
          <cell r="G178" t="str">
            <v>Aides à domicile et auxiliaires de vie</v>
          </cell>
          <cell r="H178" t="str">
            <v>T2A60 Aides à domicile et auxiliaires de vie</v>
          </cell>
        </row>
        <row r="179">
          <cell r="A179" t="str">
            <v>T2B60</v>
          </cell>
          <cell r="B179" t="str">
            <v>4 SECTEUR PRIVE</v>
          </cell>
          <cell r="C179">
            <v>1399</v>
          </cell>
          <cell r="D179">
            <v>20182.741845</v>
          </cell>
          <cell r="E179">
            <v>13544.24</v>
          </cell>
          <cell r="F179">
            <v>67.108000000000004</v>
          </cell>
          <cell r="G179" t="str">
            <v>Assistants maternels, auxiliaires de puériculture, assistants familiaux et gardes à domicile</v>
          </cell>
          <cell r="H179" t="str">
            <v>T2B60 Assistants maternels, auxiliaires de puériculture, assistants familiaux et gardes à domicile</v>
          </cell>
        </row>
        <row r="180">
          <cell r="A180" t="str">
            <v>T3X60</v>
          </cell>
          <cell r="B180" t="str">
            <v>4 SECTEUR PRIVE</v>
          </cell>
          <cell r="C180">
            <v>149</v>
          </cell>
          <cell r="D180">
            <v>1759.7150328</v>
          </cell>
          <cell r="E180">
            <v>999.75</v>
          </cell>
          <cell r="F180">
            <v>56.813000000000002</v>
          </cell>
          <cell r="G180" t="str">
            <v>Concierges</v>
          </cell>
          <cell r="H180" t="str">
            <v>T3X60 Concierges</v>
          </cell>
        </row>
        <row r="181">
          <cell r="A181" t="str">
            <v>T3X61</v>
          </cell>
          <cell r="B181" t="str">
            <v>4 SECTEUR PRIVE</v>
          </cell>
          <cell r="C181">
            <v>1196</v>
          </cell>
          <cell r="D181">
            <v>42130.918702000003</v>
          </cell>
          <cell r="E181">
            <v>30996.48</v>
          </cell>
          <cell r="F181">
            <v>73.572000000000003</v>
          </cell>
          <cell r="G181" t="str">
            <v>Agents de sécurité et de surveillance</v>
          </cell>
          <cell r="H181" t="str">
            <v>T3X61 Agents de sécurité et de surveillance</v>
          </cell>
        </row>
        <row r="182">
          <cell r="A182" t="str">
            <v>T4X60</v>
          </cell>
          <cell r="B182" t="str">
            <v>4 SECTEUR PRIVE</v>
          </cell>
          <cell r="C182">
            <v>3160</v>
          </cell>
          <cell r="D182">
            <v>69393.121306999994</v>
          </cell>
          <cell r="E182">
            <v>39554.58</v>
          </cell>
          <cell r="F182">
            <v>57.000999999999998</v>
          </cell>
          <cell r="G182" t="str">
            <v>Agents d'entretien de locaux</v>
          </cell>
          <cell r="H182" t="str">
            <v>T4X60 Agents d'entretien de locaux</v>
          </cell>
        </row>
        <row r="183">
          <cell r="A183" t="str">
            <v>T4X61</v>
          </cell>
          <cell r="B183" t="str">
            <v>4 SECTEUR PRIVE</v>
          </cell>
          <cell r="C183">
            <v>838</v>
          </cell>
          <cell r="D183">
            <v>8882.2327574999999</v>
          </cell>
          <cell r="E183">
            <v>4198.9399999999996</v>
          </cell>
          <cell r="F183">
            <v>47.273000000000003</v>
          </cell>
          <cell r="G183" t="str">
            <v>Agents de service hospitaliers</v>
          </cell>
          <cell r="H183" t="str">
            <v>T4X61 Agents de service hospitaliers</v>
          </cell>
        </row>
        <row r="184">
          <cell r="A184" t="str">
            <v>T4X62</v>
          </cell>
          <cell r="B184" t="str">
            <v>4 SECTEUR PRIVE</v>
          </cell>
          <cell r="C184">
            <v>669</v>
          </cell>
          <cell r="D184">
            <v>9727.2865022000005</v>
          </cell>
          <cell r="E184">
            <v>4121.1400000000003</v>
          </cell>
          <cell r="F184">
            <v>42.366999999999997</v>
          </cell>
          <cell r="G184" t="str">
            <v>Ouvriers de l'assainissement et du traitement des déchets</v>
          </cell>
          <cell r="H184" t="str">
            <v>T4X62 Ouvriers de l'assainissement et du traitement des déchets</v>
          </cell>
        </row>
        <row r="185">
          <cell r="A185" t="str">
            <v>T6X61</v>
          </cell>
          <cell r="B185" t="str">
            <v>4 SECTEUR PRIVE</v>
          </cell>
          <cell r="C185">
            <v>544</v>
          </cell>
          <cell r="D185">
            <v>8329.5030289000006</v>
          </cell>
          <cell r="E185">
            <v>3957.07</v>
          </cell>
          <cell r="F185">
            <v>47.506999999999998</v>
          </cell>
          <cell r="G185" t="str">
            <v>Employés des services divers</v>
          </cell>
          <cell r="H185" t="str">
            <v>T6X61 Employés des services divers</v>
          </cell>
        </row>
        <row r="186">
          <cell r="A186" t="str">
            <v>U0X80</v>
          </cell>
          <cell r="B186" t="str">
            <v>4 SECTEUR PRIVE</v>
          </cell>
          <cell r="C186">
            <v>751</v>
          </cell>
          <cell r="D186">
            <v>5387.0641095000001</v>
          </cell>
          <cell r="E186">
            <v>1654.39</v>
          </cell>
          <cell r="F186">
            <v>30.71</v>
          </cell>
          <cell r="G186" t="str">
            <v>Assistants de la communication</v>
          </cell>
          <cell r="H186" t="str">
            <v>U0X80 Assistants de la communication</v>
          </cell>
        </row>
        <row r="187">
          <cell r="A187" t="str">
            <v>U0X81</v>
          </cell>
          <cell r="B187" t="str">
            <v>4 SECTEUR PRIVE</v>
          </cell>
          <cell r="C187">
            <v>30</v>
          </cell>
          <cell r="D187">
            <v>471.70974386</v>
          </cell>
          <cell r="E187">
            <v>262.73</v>
          </cell>
          <cell r="F187">
            <v>55.698</v>
          </cell>
          <cell r="G187" t="str">
            <v>Interprètes</v>
          </cell>
          <cell r="H187" t="str">
            <v>U0X81 Interprètes</v>
          </cell>
        </row>
        <row r="188">
          <cell r="A188" t="str">
            <v>U0X90</v>
          </cell>
          <cell r="B188" t="str">
            <v>4 SECTEUR PRIVE</v>
          </cell>
          <cell r="C188">
            <v>232</v>
          </cell>
          <cell r="D188">
            <v>1783.4797414</v>
          </cell>
          <cell r="E188">
            <v>492.08</v>
          </cell>
          <cell r="F188">
            <v>27.591000000000001</v>
          </cell>
          <cell r="G188" t="str">
            <v>Cadres de la communication</v>
          </cell>
          <cell r="H188" t="str">
            <v>U0X90 Cadres de la communication</v>
          </cell>
        </row>
        <row r="189">
          <cell r="A189" t="str">
            <v>U0X91</v>
          </cell>
          <cell r="B189" t="str">
            <v>4 SECTEUR PRIVE</v>
          </cell>
          <cell r="C189">
            <v>64</v>
          </cell>
          <cell r="D189">
            <v>651.91847501999996</v>
          </cell>
          <cell r="E189">
            <v>264.67</v>
          </cell>
          <cell r="F189">
            <v>40.597999999999999</v>
          </cell>
          <cell r="G189" t="str">
            <v>Cadres et techniciens de la documentation</v>
          </cell>
          <cell r="H189" t="str">
            <v>U0X91 Cadres et techniciens de la documentation</v>
          </cell>
        </row>
        <row r="190">
          <cell r="A190" t="str">
            <v>U0X92</v>
          </cell>
          <cell r="B190" t="str">
            <v>4 SECTEUR PRIVE</v>
          </cell>
          <cell r="C190">
            <v>128</v>
          </cell>
          <cell r="D190">
            <v>1370.7669934</v>
          </cell>
          <cell r="E190">
            <v>450.87</v>
          </cell>
          <cell r="F190">
            <v>32.892000000000003</v>
          </cell>
          <cell r="G190" t="str">
            <v>Journalistes et cadres de l'édition</v>
          </cell>
          <cell r="H190" t="str">
            <v>U0X92 Journalistes et cadres de l'édition</v>
          </cell>
        </row>
        <row r="191">
          <cell r="A191" t="str">
            <v>U1X80</v>
          </cell>
          <cell r="B191" t="str">
            <v>4 SECTEUR PRIVE</v>
          </cell>
          <cell r="C191">
            <v>1639</v>
          </cell>
          <cell r="D191">
            <v>29976.582705000001</v>
          </cell>
          <cell r="E191">
            <v>5254.64</v>
          </cell>
          <cell r="F191">
            <v>17.529</v>
          </cell>
          <cell r="G191" t="str">
            <v>Professionnels des spectacles</v>
          </cell>
          <cell r="H191" t="str">
            <v>U1X80 Professionnels des spectacles</v>
          </cell>
        </row>
        <row r="192">
          <cell r="A192" t="str">
            <v>U1X81</v>
          </cell>
          <cell r="B192" t="str">
            <v>4 SECTEUR PRIVE</v>
          </cell>
          <cell r="C192">
            <v>43</v>
          </cell>
          <cell r="D192">
            <v>630.13736137000001</v>
          </cell>
          <cell r="E192">
            <v>318.63</v>
          </cell>
          <cell r="F192">
            <v>50.564999999999998</v>
          </cell>
          <cell r="G192" t="str">
            <v>Photographes</v>
          </cell>
          <cell r="H192" t="str">
            <v>U1X81 Photographes</v>
          </cell>
        </row>
        <row r="193">
          <cell r="A193" t="str">
            <v>U1X82</v>
          </cell>
          <cell r="B193" t="str">
            <v>4 SECTEUR PRIVE</v>
          </cell>
          <cell r="C193">
            <v>616</v>
          </cell>
          <cell r="D193">
            <v>6141.8352963999996</v>
          </cell>
          <cell r="E193">
            <v>1934.06</v>
          </cell>
          <cell r="F193">
            <v>31.49</v>
          </cell>
          <cell r="G193" t="str">
            <v>Graphistes, dessinateurs, stylistes, décorateurs et créateurs de supports de communication visuelle</v>
          </cell>
          <cell r="H193" t="str">
            <v>U1X82 Graphistes, dessinateurs, stylistes, décorateurs et créateurs de supports de communication visuelle</v>
          </cell>
        </row>
        <row r="194">
          <cell r="A194" t="str">
            <v>U1X91</v>
          </cell>
          <cell r="B194" t="str">
            <v>4 SECTEUR PRIVE</v>
          </cell>
          <cell r="C194">
            <v>1882</v>
          </cell>
          <cell r="D194">
            <v>54486.874964000002</v>
          </cell>
          <cell r="E194">
            <v>5681.71</v>
          </cell>
          <cell r="F194">
            <v>10.428000000000001</v>
          </cell>
          <cell r="G194" t="str">
            <v>Artistes (musique, danse, spectacles)</v>
          </cell>
          <cell r="H194" t="str">
            <v>U1X91 Artistes (musique, danse, spectacles)</v>
          </cell>
        </row>
        <row r="195">
          <cell r="A195" t="str">
            <v>U1X92</v>
          </cell>
          <cell r="B195" t="str">
            <v>4 SECTEUR PRIVE</v>
          </cell>
          <cell r="C195">
            <v>16</v>
          </cell>
          <cell r="D195">
            <v>105.3890406</v>
          </cell>
          <cell r="E195">
            <v>29.79</v>
          </cell>
          <cell r="F195">
            <v>28.268000000000001</v>
          </cell>
          <cell r="G195" t="str">
            <v>Écrivains</v>
          </cell>
          <cell r="H195" t="str">
            <v>U1X92 Écrivains</v>
          </cell>
        </row>
        <row r="196">
          <cell r="A196" t="str">
            <v>U1X93</v>
          </cell>
          <cell r="B196" t="str">
            <v>4 SECTEUR PRIVE</v>
          </cell>
          <cell r="C196">
            <v>48</v>
          </cell>
          <cell r="D196">
            <v>565.85189007999998</v>
          </cell>
          <cell r="E196">
            <v>154.80000000000001</v>
          </cell>
          <cell r="F196">
            <v>27.358000000000001</v>
          </cell>
          <cell r="G196" t="str">
            <v>Artistes plasticiens</v>
          </cell>
          <cell r="H196" t="str">
            <v>U1X93 Artistes plasticiens</v>
          </cell>
        </row>
        <row r="197">
          <cell r="A197" t="str">
            <v>V0X60</v>
          </cell>
          <cell r="B197" t="str">
            <v>4 SECTEUR PRIVE</v>
          </cell>
          <cell r="C197">
            <v>3633</v>
          </cell>
          <cell r="D197">
            <v>41026.838857000002</v>
          </cell>
          <cell r="E197">
            <v>29002.53</v>
          </cell>
          <cell r="F197">
            <v>70.691999999999993</v>
          </cell>
          <cell r="G197" t="str">
            <v>Aides-soignants</v>
          </cell>
          <cell r="H197" t="str">
            <v>V0X60 Aides-soignants</v>
          </cell>
        </row>
        <row r="198">
          <cell r="A198" t="str">
            <v>V1X80</v>
          </cell>
          <cell r="B198" t="str">
            <v>4 SECTEUR PRIVE</v>
          </cell>
          <cell r="C198">
            <v>2771</v>
          </cell>
          <cell r="D198">
            <v>23499.602125000001</v>
          </cell>
          <cell r="E198">
            <v>17349.5</v>
          </cell>
          <cell r="F198">
            <v>73.828999999999994</v>
          </cell>
          <cell r="G198" t="str">
            <v>Infirmiers et sages-femmes</v>
          </cell>
          <cell r="H198" t="str">
            <v>V1X80 Infirmiers et sages-femmes</v>
          </cell>
        </row>
        <row r="199">
          <cell r="A199" t="str">
            <v>V2X90</v>
          </cell>
          <cell r="B199" t="str">
            <v>4 SECTEUR PRIVE</v>
          </cell>
          <cell r="C199">
            <v>1256</v>
          </cell>
          <cell r="D199">
            <v>6728.5465289000003</v>
          </cell>
          <cell r="E199">
            <v>5564.15</v>
          </cell>
          <cell r="F199">
            <v>82.694999999999993</v>
          </cell>
          <cell r="G199" t="str">
            <v>Médecins</v>
          </cell>
          <cell r="H199" t="str">
            <v>V2X90 Médecins</v>
          </cell>
        </row>
        <row r="200">
          <cell r="A200" t="str">
            <v>V2X91</v>
          </cell>
          <cell r="B200" t="str">
            <v>4 SECTEUR PRIVE</v>
          </cell>
          <cell r="C200">
            <v>193</v>
          </cell>
          <cell r="D200">
            <v>2003.7848199</v>
          </cell>
          <cell r="E200">
            <v>1547</v>
          </cell>
          <cell r="F200">
            <v>77.203999999999994</v>
          </cell>
          <cell r="G200" t="str">
            <v>Dentistes</v>
          </cell>
          <cell r="H200" t="str">
            <v>V2X91 Dentistes</v>
          </cell>
        </row>
        <row r="201">
          <cell r="A201" t="str">
            <v>V2X92</v>
          </cell>
          <cell r="B201" t="str">
            <v>4 SECTEUR PRIVE</v>
          </cell>
          <cell r="C201">
            <v>274</v>
          </cell>
          <cell r="D201">
            <v>2223.8704693999998</v>
          </cell>
          <cell r="E201">
            <v>1802.92</v>
          </cell>
          <cell r="F201">
            <v>81.070999999999998</v>
          </cell>
          <cell r="G201" t="str">
            <v>Vétérinaires</v>
          </cell>
          <cell r="H201" t="str">
            <v>V2X92 Vétérinaires</v>
          </cell>
        </row>
        <row r="202">
          <cell r="A202" t="str">
            <v>V2X93</v>
          </cell>
          <cell r="B202" t="str">
            <v>4 SECTEUR PRIVE</v>
          </cell>
          <cell r="C202">
            <v>1049</v>
          </cell>
          <cell r="D202">
            <v>7225.1562709999998</v>
          </cell>
          <cell r="E202">
            <v>5980.44</v>
          </cell>
          <cell r="F202">
            <v>82.772000000000006</v>
          </cell>
          <cell r="G202" t="str">
            <v>Pharmaciens</v>
          </cell>
          <cell r="H202" t="str">
            <v>V2X93 Pharmaciens</v>
          </cell>
        </row>
        <row r="203">
          <cell r="A203" t="str">
            <v>V3X70</v>
          </cell>
          <cell r="B203" t="str">
            <v>4 SECTEUR PRIVE</v>
          </cell>
          <cell r="C203">
            <v>1200</v>
          </cell>
          <cell r="D203">
            <v>10089.765153</v>
          </cell>
          <cell r="E203">
            <v>7963.11</v>
          </cell>
          <cell r="F203">
            <v>78.923000000000002</v>
          </cell>
          <cell r="G203" t="str">
            <v>Techniciens médicaux et préparateurs</v>
          </cell>
          <cell r="H203" t="str">
            <v>V3X70 Techniciens médicaux et préparateurs</v>
          </cell>
        </row>
        <row r="204">
          <cell r="A204" t="str">
            <v>V3X71</v>
          </cell>
          <cell r="B204" t="str">
            <v>4 SECTEUR PRIVE</v>
          </cell>
          <cell r="C204">
            <v>561</v>
          </cell>
          <cell r="D204">
            <v>5096.0177881</v>
          </cell>
          <cell r="E204">
            <v>3528.64</v>
          </cell>
          <cell r="F204">
            <v>69.242999999999995</v>
          </cell>
          <cell r="G204" t="str">
            <v>Spécialistes de l'appareillage médical</v>
          </cell>
          <cell r="H204" t="str">
            <v>V3X71 Spécialistes de l'appareillage médical</v>
          </cell>
        </row>
        <row r="205">
          <cell r="A205" t="str">
            <v>V3X80</v>
          </cell>
          <cell r="B205" t="str">
            <v>4 SECTEUR PRIVE</v>
          </cell>
          <cell r="C205">
            <v>1050</v>
          </cell>
          <cell r="D205">
            <v>6812.1835381999999</v>
          </cell>
          <cell r="E205">
            <v>5330.89</v>
          </cell>
          <cell r="F205">
            <v>78.254999999999995</v>
          </cell>
          <cell r="G205" t="str">
            <v>Autres professionnels para-médicaux</v>
          </cell>
          <cell r="H205" t="str">
            <v>V3X80 Autres professionnels para-médicaux</v>
          </cell>
        </row>
        <row r="206">
          <cell r="A206" t="str">
            <v>V3X90</v>
          </cell>
          <cell r="B206" t="str">
            <v>4 SECTEUR PRIVE</v>
          </cell>
          <cell r="C206">
            <v>704</v>
          </cell>
          <cell r="D206">
            <v>2725.1889434</v>
          </cell>
          <cell r="E206">
            <v>1618.62</v>
          </cell>
          <cell r="F206">
            <v>59.395000000000003</v>
          </cell>
          <cell r="G206" t="str">
            <v>Psychologues, psychothérapeutes</v>
          </cell>
          <cell r="H206" t="str">
            <v>V3X90 Psychologues, psychothérapeutes</v>
          </cell>
        </row>
        <row r="207">
          <cell r="A207" t="str">
            <v>V4X80</v>
          </cell>
          <cell r="B207" t="str">
            <v>4 SECTEUR PRIVE</v>
          </cell>
          <cell r="C207">
            <v>336</v>
          </cell>
          <cell r="D207">
            <v>2598.7217128000002</v>
          </cell>
          <cell r="E207">
            <v>1137.27</v>
          </cell>
          <cell r="F207">
            <v>43.762999999999998</v>
          </cell>
          <cell r="G207" t="str">
            <v>Professionnels de l’orientation et de l’insertion professionnelle</v>
          </cell>
          <cell r="H207" t="str">
            <v>V4X80 Professionnels de l’orientation et de l’insertion professionnelle</v>
          </cell>
        </row>
        <row r="208">
          <cell r="A208" t="str">
            <v>V4X83</v>
          </cell>
          <cell r="B208" t="str">
            <v>4 SECTEUR PRIVE</v>
          </cell>
          <cell r="C208">
            <v>2467</v>
          </cell>
          <cell r="D208">
            <v>21889.425029000002</v>
          </cell>
          <cell r="E208">
            <v>14978.53</v>
          </cell>
          <cell r="F208">
            <v>68.427999999999997</v>
          </cell>
          <cell r="G208" t="str">
            <v>Educateurs spécialisés et autres intervenants socio-éducatifs</v>
          </cell>
          <cell r="H208" t="str">
            <v>V4X83 Educateurs spécialisés et autres intervenants socio-éducatifs</v>
          </cell>
        </row>
        <row r="209">
          <cell r="A209" t="str">
            <v>V4X84</v>
          </cell>
          <cell r="B209" t="str">
            <v>4 SECTEUR PRIVE</v>
          </cell>
          <cell r="C209">
            <v>860</v>
          </cell>
          <cell r="D209">
            <v>6944.1034165000001</v>
          </cell>
          <cell r="E209">
            <v>5235.95</v>
          </cell>
          <cell r="F209">
            <v>75.400999999999996</v>
          </cell>
          <cell r="G209" t="str">
            <v>Aides médico-psychologiques</v>
          </cell>
          <cell r="H209" t="str">
            <v>V4X84 Aides médico-psychologiques</v>
          </cell>
        </row>
        <row r="210">
          <cell r="A210" t="str">
            <v>V4X85</v>
          </cell>
          <cell r="B210" t="str">
            <v>4 SECTEUR PRIVE</v>
          </cell>
          <cell r="C210">
            <v>1109</v>
          </cell>
          <cell r="D210">
            <v>8469.9776714</v>
          </cell>
          <cell r="E210">
            <v>5482.13</v>
          </cell>
          <cell r="F210">
            <v>64.724000000000004</v>
          </cell>
          <cell r="G210" t="str">
            <v>Professionnels de l'action sociale</v>
          </cell>
          <cell r="H210" t="str">
            <v>V4X85 Professionnels de l'action sociale</v>
          </cell>
        </row>
        <row r="211">
          <cell r="A211" t="str">
            <v>V5X81</v>
          </cell>
          <cell r="B211" t="str">
            <v>4 SECTEUR PRIVE</v>
          </cell>
          <cell r="C211">
            <v>2218</v>
          </cell>
          <cell r="D211">
            <v>38570.395411999998</v>
          </cell>
          <cell r="E211">
            <v>20944.14</v>
          </cell>
          <cell r="F211">
            <v>54.301000000000002</v>
          </cell>
          <cell r="G211" t="str">
            <v>Professionnels de l'animation socioculturelle</v>
          </cell>
          <cell r="H211" t="str">
            <v>V5X81 Professionnels de l'animation socioculturelle</v>
          </cell>
        </row>
        <row r="212">
          <cell r="A212" t="str">
            <v>V5X82</v>
          </cell>
          <cell r="B212" t="str">
            <v>4 SECTEUR PRIVE</v>
          </cell>
          <cell r="C212">
            <v>1533</v>
          </cell>
          <cell r="D212">
            <v>20255.576654</v>
          </cell>
          <cell r="E212">
            <v>11222.65</v>
          </cell>
          <cell r="F212">
            <v>55.405000000000001</v>
          </cell>
          <cell r="G212" t="str">
            <v>Sportifs et animateurs sportifs</v>
          </cell>
          <cell r="H212" t="str">
            <v>V5X82 Sportifs et animateurs sportifs</v>
          </cell>
        </row>
        <row r="213">
          <cell r="A213" t="str">
            <v>V5X84</v>
          </cell>
          <cell r="B213" t="str">
            <v>4 SECTEUR PRIVE</v>
          </cell>
          <cell r="C213">
            <v>510</v>
          </cell>
          <cell r="D213">
            <v>4691.9079308</v>
          </cell>
          <cell r="E213">
            <v>2516.14</v>
          </cell>
          <cell r="F213">
            <v>53.627000000000002</v>
          </cell>
          <cell r="G213" t="str">
            <v>Surveillants d'établissements scolaires et accompagnateurs des élèves en situation de handicap</v>
          </cell>
          <cell r="H213" t="str">
            <v>V5X84 Surveillants d'établissements scolaires et accompagnateurs des élèves en situation de handicap</v>
          </cell>
        </row>
        <row r="214">
          <cell r="A214" t="str">
            <v>W0X80</v>
          </cell>
          <cell r="B214" t="str">
            <v>4 SECTEUR PRIVE</v>
          </cell>
          <cell r="C214">
            <v>144</v>
          </cell>
          <cell r="D214">
            <v>1595.2524275000001</v>
          </cell>
          <cell r="E214">
            <v>679.54</v>
          </cell>
          <cell r="F214">
            <v>42.597000000000001</v>
          </cell>
          <cell r="G214" t="str">
            <v>Professeurs des écoles</v>
          </cell>
          <cell r="H214" t="str">
            <v>W0X80 Professeurs des écoles</v>
          </cell>
        </row>
        <row r="215">
          <cell r="A215" t="str">
            <v>W0X90</v>
          </cell>
          <cell r="B215" t="str">
            <v>4 SECTEUR PRIVE</v>
          </cell>
          <cell r="C215">
            <v>254</v>
          </cell>
          <cell r="D215">
            <v>4427.0715834000002</v>
          </cell>
          <cell r="E215">
            <v>2692.13</v>
          </cell>
          <cell r="F215">
            <v>60.811</v>
          </cell>
          <cell r="G215" t="str">
            <v>Professeurs du secondaire</v>
          </cell>
          <cell r="H215" t="str">
            <v>W0X90 Professeurs du secondaire</v>
          </cell>
        </row>
        <row r="216">
          <cell r="A216" t="str">
            <v>W0X91</v>
          </cell>
          <cell r="B216" t="str">
            <v>4 SECTEUR PRIVE</v>
          </cell>
          <cell r="C216">
            <v>23</v>
          </cell>
          <cell r="D216">
            <v>132.26477177000001</v>
          </cell>
          <cell r="E216">
            <v>49.82</v>
          </cell>
          <cell r="F216">
            <v>37.668999999999997</v>
          </cell>
          <cell r="G216" t="str">
            <v>Directeurs d’établissements du secondaire ou du supérieur et inspecteurs</v>
          </cell>
          <cell r="H216" t="str">
            <v>W0X91 Directeurs d’établissements du secondaire ou du supérieur et inspecteurs</v>
          </cell>
        </row>
        <row r="217">
          <cell r="A217" t="str">
            <v>W0X92</v>
          </cell>
          <cell r="B217" t="str">
            <v>4 SECTEUR PRIVE</v>
          </cell>
          <cell r="C217">
            <v>76</v>
          </cell>
          <cell r="D217">
            <v>1502.9773187999999</v>
          </cell>
          <cell r="E217">
            <v>724.23</v>
          </cell>
          <cell r="F217">
            <v>48.186</v>
          </cell>
          <cell r="G217" t="str">
            <v>Professeurs du supérieur</v>
          </cell>
          <cell r="H217" t="str">
            <v>W0X92 Professeurs du supérieur</v>
          </cell>
        </row>
        <row r="218">
          <cell r="A218" t="str">
            <v>W1X80</v>
          </cell>
          <cell r="B218" t="str">
            <v>4 SECTEUR PRIVE</v>
          </cell>
          <cell r="C218">
            <v>1454</v>
          </cell>
          <cell r="D218">
            <v>17149.143435999998</v>
          </cell>
          <cell r="E218">
            <v>10439.59</v>
          </cell>
          <cell r="F218">
            <v>60.875</v>
          </cell>
          <cell r="G218" t="str">
            <v>Formateurs</v>
          </cell>
          <cell r="H218" t="str">
            <v>W1X80 Formateurs</v>
          </cell>
        </row>
      </sheetData>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3"/>
  <dimension ref="A1:A23"/>
  <sheetViews>
    <sheetView tabSelected="1" workbookViewId="0">
      <selection activeCell="A26" sqref="A26"/>
    </sheetView>
  </sheetViews>
  <sheetFormatPr baseColWidth="10" defaultRowHeight="14.5"/>
  <cols>
    <col min="1" max="1" width="122.36328125" bestFit="1" customWidth="1"/>
  </cols>
  <sheetData>
    <row r="1" spans="1:1" ht="18.5">
      <c r="A1" s="407" t="s">
        <v>588</v>
      </c>
    </row>
    <row r="2" spans="1:1">
      <c r="A2" s="408" t="s">
        <v>589</v>
      </c>
    </row>
    <row r="3" spans="1:1">
      <c r="A3" s="408" t="s">
        <v>590</v>
      </c>
    </row>
    <row r="4" spans="1:1">
      <c r="A4" s="408" t="s">
        <v>591</v>
      </c>
    </row>
    <row r="5" spans="1:1">
      <c r="A5" s="408" t="s">
        <v>592</v>
      </c>
    </row>
    <row r="6" spans="1:1">
      <c r="A6" s="408" t="s">
        <v>593</v>
      </c>
    </row>
    <row r="7" spans="1:1">
      <c r="A7" s="408" t="s">
        <v>594</v>
      </c>
    </row>
    <row r="8" spans="1:1">
      <c r="A8" s="408" t="s">
        <v>595</v>
      </c>
    </row>
    <row r="9" spans="1:1">
      <c r="A9" s="408" t="s">
        <v>596</v>
      </c>
    </row>
    <row r="10" spans="1:1">
      <c r="A10" s="408" t="s">
        <v>597</v>
      </c>
    </row>
    <row r="11" spans="1:1">
      <c r="A11" s="408" t="s">
        <v>598</v>
      </c>
    </row>
    <row r="12" spans="1:1">
      <c r="A12" s="408" t="s">
        <v>599</v>
      </c>
    </row>
    <row r="13" spans="1:1">
      <c r="A13" s="408" t="s">
        <v>600</v>
      </c>
    </row>
    <row r="14" spans="1:1">
      <c r="A14" s="408" t="s">
        <v>601</v>
      </c>
    </row>
    <row r="15" spans="1:1">
      <c r="A15" s="408" t="s">
        <v>602</v>
      </c>
    </row>
    <row r="16" spans="1:1">
      <c r="A16" s="408" t="s">
        <v>603</v>
      </c>
    </row>
    <row r="17" spans="1:1">
      <c r="A17" s="408" t="s">
        <v>604</v>
      </c>
    </row>
    <row r="18" spans="1:1">
      <c r="A18" s="408" t="s">
        <v>605</v>
      </c>
    </row>
    <row r="19" spans="1:1">
      <c r="A19" s="408" t="s">
        <v>606</v>
      </c>
    </row>
    <row r="20" spans="1:1">
      <c r="A20" s="408" t="s">
        <v>607</v>
      </c>
    </row>
    <row r="21" spans="1:1">
      <c r="A21" s="408" t="s">
        <v>608</v>
      </c>
    </row>
    <row r="22" spans="1:1">
      <c r="A22" s="408" t="s">
        <v>609</v>
      </c>
    </row>
    <row r="23" spans="1:1">
      <c r="A23" s="408" t="s">
        <v>610</v>
      </c>
    </row>
  </sheetData>
  <hyperlinks>
    <hyperlink ref="A2" location="'Graphique 29'!A1" display="Graphique 29 : Evolution du nombre de postes offerts et de candidats présents aux concours externes de la FPE (base 100 1985)" xr:uid="{00000000-0004-0000-0000-000000000000}"/>
    <hyperlink ref="A3" location="'Graphique 30'!A1" display="Graphique 30 : Evolution du nombre de candidats aux concours externes du premier degré public et diplôme exigé" xr:uid="{00000000-0004-0000-0000-000001000000}"/>
    <hyperlink ref="A4" location="'Graphique 31'!A1" display="Graphique 31 : Évolution des candidats présents et des postes offerts au sein des concours externes de la FPE, par catégorie (base 100 en 2000)" xr:uid="{00000000-0004-0000-0000-000002000000}"/>
    <hyperlink ref="A5" location="'Graphique 32'!A1" display="Graphique 32 : Nombre de candidats inscrits aux concours des principaux concours de catégorie B à forte composante numérique (base 1 en 2018)" xr:uid="{00000000-0004-0000-0000-000003000000}"/>
    <hyperlink ref="A6" location="'Graphique 33'!A1" display="Graphique 33 : Evolution des admis titulaires de la FPT selon la voie de recrutement externe (2011-2022)" xr:uid="{00000000-0004-0000-0000-000004000000}"/>
    <hyperlink ref="A7" location="'Graphique 34'!A1" display="Graphique 34 : Evolution comparée des postes offerts et des candidats présents aux concours de la FPT  (en base 100 - 2011) " xr:uid="{00000000-0004-0000-0000-000005000000}"/>
    <hyperlink ref="A8" location="'Graphique 35'!A1" display="Graphique 35 : Taux de présence aux concours de la FPE par catégorie " xr:uid="{00000000-0004-0000-0000-000006000000}"/>
    <hyperlink ref="A9" location="'Graphique 36'!A1" display="Graphique 36 : Evolution des taux de sélectivité dans la FPE (hors enseignement) par catégorie hiérarchique " xr:uid="{00000000-0004-0000-0000-000007000000}"/>
    <hyperlink ref="A10" location="'Graphique 37'!A1" display="Graphique 37 : Evolution des taux de sélectivité des concours externes de l'éducation nationale " xr:uid="{00000000-0004-0000-0000-000008000000}"/>
    <hyperlink ref="A11" location="'Graphique 38'!A1" display="Graphique 38 : Evolution des taux de sélectivité (1) des concours externes de la FPT " xr:uid="{00000000-0004-0000-0000-000009000000}"/>
    <hyperlink ref="A12" location="'Graphique 39'!A1" display="Graphique 39 : Sélectivité des recrutements externes sur concours dans la FPT par catégorie hiérarchique " xr:uid="{00000000-0004-0000-0000-00000A000000}"/>
    <hyperlink ref="A13" location="'Graphique 40'!A1" display="Graphique 40 : Évolution de la sélectivité des concours externes d’attaché (catégorie A) dans les trois versants de la fonction publique" xr:uid="{00000000-0004-0000-0000-00000B000000}"/>
    <hyperlink ref="A14" location="'Graphique 41'!A1" display="Graphique 41 : Part des recrutements difficiles déclarés par les employeurs, secteur privé, FPT et FPH. (2014-2024) " xr:uid="{00000000-0004-0000-0000-00000C000000}"/>
    <hyperlink ref="A15" location="'Graphique 42'!A1" display="Graphique 42 : Part des projets de recrutement jugés difficiles déclarés selon les métiers présents dans le secteur privé et la FPT en 2024" xr:uid="{00000000-0004-0000-0000-00000D000000}"/>
    <hyperlink ref="A16" location="'Graphique 43'!A1" display="Graphique 43 : Part des projets de recrutement jugés difficiles déclarés selon les métiers présents dans le secteur privé et la FPH en 2024" xr:uid="{00000000-0004-0000-0000-00000E000000}"/>
    <hyperlink ref="A17" location="'Graphique 44'!A1" display="Graphique 44 : Taux de recours du secteur hospitalier public aux intérimaires des entreprises de travail temporaire de 2017 à début 2023" xr:uid="{00000000-0004-0000-0000-00000F000000}"/>
    <hyperlink ref="A18" location="'Graphique 45'!A1" display="Graphique 45 : Evolution du nombre de postes non pourvus suite aux recrutements externes d'agents titulaires dans la FPE " xr:uid="{00000000-0004-0000-0000-000010000000}"/>
    <hyperlink ref="A19" location="'Graphique 46'!A1" display="Graphique 46 : Taux de couverture des concours externes de l'enseignement scolaire (en %)" xr:uid="{00000000-0004-0000-0000-000011000000}"/>
    <hyperlink ref="A20" location="'Tableau 2'!A1" display="Tableau 2 : postes vacants 2019-2022 par catégorie d’établissement (en %)" xr:uid="{00000000-0004-0000-0000-000012000000}"/>
    <hyperlink ref="A21" location="'Tableau 3'!A1" display="Tableau 3 : Pénurie de professionnels de santé dans l'UE" xr:uid="{00000000-0004-0000-0000-000013000000}"/>
    <hyperlink ref="A22" location="'Graphique 47'!A1" display="Graphique 47 : Evolution du nombre de fonctionnaires sortants et des effectifs des nouvelles pensions civiles de droit  direct (2014-2022)" xr:uid="{00000000-0004-0000-0000-000014000000}"/>
    <hyperlink ref="A23" location="'Graphique 48'!A1" display="Graphique 48 : Evolution de la part de départs définitifs volontaires parmi les sorties annuelles" xr:uid="{00000000-0004-0000-0000-000015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9"/>
  <dimension ref="A1:J34"/>
  <sheetViews>
    <sheetView topLeftCell="B30" zoomScale="70" zoomScaleNormal="70" workbookViewId="0">
      <selection activeCell="B3" sqref="B3"/>
    </sheetView>
  </sheetViews>
  <sheetFormatPr baseColWidth="10" defaultRowHeight="14.5"/>
  <sheetData>
    <row r="1" spans="1:10">
      <c r="A1" t="s">
        <v>10</v>
      </c>
      <c r="B1" t="s">
        <v>569</v>
      </c>
    </row>
    <row r="2" spans="1:10">
      <c r="A2" t="s">
        <v>9</v>
      </c>
      <c r="B2" t="s">
        <v>53</v>
      </c>
    </row>
    <row r="3" spans="1:10">
      <c r="A3" t="s">
        <v>8</v>
      </c>
      <c r="B3" t="s">
        <v>52</v>
      </c>
    </row>
    <row r="4" spans="1:10">
      <c r="A4" t="s">
        <v>6</v>
      </c>
    </row>
    <row r="5" spans="1:10" ht="15" thickBot="1"/>
    <row r="6" spans="1:10" ht="38" customHeight="1" thickTop="1" thickBot="1">
      <c r="B6" s="104"/>
      <c r="C6" s="415" t="s">
        <v>51</v>
      </c>
      <c r="D6" s="416"/>
      <c r="E6" s="416"/>
      <c r="F6" s="417"/>
      <c r="G6" s="415" t="s">
        <v>50</v>
      </c>
      <c r="H6" s="416"/>
      <c r="I6" s="416"/>
      <c r="J6" s="417"/>
    </row>
    <row r="7" spans="1:10" ht="15.5" thickTop="1" thickBot="1">
      <c r="B7" s="103"/>
      <c r="C7" s="102" t="s">
        <v>49</v>
      </c>
      <c r="D7" s="101" t="s">
        <v>48</v>
      </c>
      <c r="E7" s="101" t="s">
        <v>47</v>
      </c>
      <c r="F7" s="100" t="s">
        <v>46</v>
      </c>
      <c r="G7" s="102" t="s">
        <v>49</v>
      </c>
      <c r="H7" s="101" t="s">
        <v>48</v>
      </c>
      <c r="I7" s="101" t="s">
        <v>47</v>
      </c>
      <c r="J7" s="100" t="s">
        <v>46</v>
      </c>
    </row>
    <row r="8" spans="1:10" ht="15" thickTop="1">
      <c r="B8" s="99">
        <v>2000</v>
      </c>
      <c r="C8" s="98">
        <v>10074</v>
      </c>
      <c r="D8" s="97">
        <v>47023</v>
      </c>
      <c r="E8" s="97">
        <v>10074</v>
      </c>
      <c r="F8" s="96">
        <f t="shared" ref="F8:F31" si="0">D8/C8</f>
        <v>4.6677585864601943</v>
      </c>
      <c r="G8" s="98">
        <v>12965</v>
      </c>
      <c r="H8" s="97">
        <v>92279</v>
      </c>
      <c r="I8" s="97">
        <v>13940</v>
      </c>
      <c r="J8" s="96">
        <f t="shared" ref="J8:J31" si="1">H8/G8</f>
        <v>7.1175472425761663</v>
      </c>
    </row>
    <row r="9" spans="1:10">
      <c r="B9" s="93">
        <v>2001</v>
      </c>
      <c r="C9" s="92">
        <v>10996</v>
      </c>
      <c r="D9" s="95">
        <v>47244</v>
      </c>
      <c r="E9" s="91">
        <v>10996</v>
      </c>
      <c r="F9" s="90">
        <f t="shared" si="0"/>
        <v>4.2964714441615133</v>
      </c>
      <c r="G9" s="92">
        <v>14335</v>
      </c>
      <c r="H9" s="95">
        <v>89125</v>
      </c>
      <c r="I9" s="91">
        <v>16304</v>
      </c>
      <c r="J9" s="90">
        <f t="shared" si="1"/>
        <v>6.2173003139169865</v>
      </c>
    </row>
    <row r="10" spans="1:10">
      <c r="B10" s="93">
        <v>2002</v>
      </c>
      <c r="C10" s="92">
        <v>12000</v>
      </c>
      <c r="D10" s="91">
        <v>54845</v>
      </c>
      <c r="E10" s="91">
        <v>11997</v>
      </c>
      <c r="F10" s="90">
        <f t="shared" si="0"/>
        <v>4.5704166666666666</v>
      </c>
      <c r="G10" s="92">
        <v>17140</v>
      </c>
      <c r="H10" s="91">
        <v>83727</v>
      </c>
      <c r="I10" s="91">
        <v>18217</v>
      </c>
      <c r="J10" s="90">
        <f t="shared" si="1"/>
        <v>4.8848891481913652</v>
      </c>
    </row>
    <row r="11" spans="1:10">
      <c r="B11" s="93">
        <v>2003</v>
      </c>
      <c r="C11" s="92">
        <v>12000</v>
      </c>
      <c r="D11" s="91">
        <v>65977</v>
      </c>
      <c r="E11" s="91">
        <v>12000</v>
      </c>
      <c r="F11" s="90">
        <f t="shared" si="0"/>
        <v>5.4980833333333337</v>
      </c>
      <c r="G11" s="92">
        <v>17140</v>
      </c>
      <c r="H11" s="91">
        <v>81661</v>
      </c>
      <c r="I11" s="91">
        <v>16514</v>
      </c>
      <c r="J11" s="90">
        <f t="shared" si="1"/>
        <v>4.7643523920653443</v>
      </c>
    </row>
    <row r="12" spans="1:10">
      <c r="B12" s="93">
        <v>2004</v>
      </c>
      <c r="C12" s="92">
        <v>12940</v>
      </c>
      <c r="D12" s="91">
        <v>65577</v>
      </c>
      <c r="E12" s="91">
        <v>12922</v>
      </c>
      <c r="F12" s="90">
        <f t="shared" si="0"/>
        <v>5.0677743431221023</v>
      </c>
      <c r="G12" s="92">
        <v>11975</v>
      </c>
      <c r="H12" s="91">
        <v>84055</v>
      </c>
      <c r="I12" s="91">
        <v>11873</v>
      </c>
      <c r="J12" s="90">
        <f t="shared" si="1"/>
        <v>7.019206680584551</v>
      </c>
    </row>
    <row r="13" spans="1:10">
      <c r="B13" s="93">
        <v>2005</v>
      </c>
      <c r="C13" s="92">
        <v>12500</v>
      </c>
      <c r="D13" s="91">
        <v>57324</v>
      </c>
      <c r="E13" s="91">
        <v>12435</v>
      </c>
      <c r="F13" s="90">
        <f t="shared" si="0"/>
        <v>4.5859199999999998</v>
      </c>
      <c r="G13" s="92">
        <v>13475</v>
      </c>
      <c r="H13" s="91">
        <v>80222</v>
      </c>
      <c r="I13" s="91">
        <v>13316</v>
      </c>
      <c r="J13" s="90">
        <f t="shared" si="1"/>
        <v>5.953395176252319</v>
      </c>
    </row>
    <row r="14" spans="1:10">
      <c r="B14" s="93">
        <v>2006</v>
      </c>
      <c r="C14" s="92">
        <v>11000</v>
      </c>
      <c r="D14" s="91">
        <v>55298</v>
      </c>
      <c r="E14" s="91">
        <v>11019</v>
      </c>
      <c r="F14" s="90">
        <f t="shared" si="0"/>
        <v>5.0270909090909095</v>
      </c>
      <c r="G14" s="92">
        <v>9750</v>
      </c>
      <c r="H14" s="91">
        <v>75907</v>
      </c>
      <c r="I14" s="91">
        <v>9708</v>
      </c>
      <c r="J14" s="90">
        <f t="shared" si="1"/>
        <v>7.785333333333333</v>
      </c>
    </row>
    <row r="15" spans="1:10">
      <c r="B15" s="93">
        <v>2007</v>
      </c>
      <c r="C15" s="92">
        <v>10900</v>
      </c>
      <c r="D15" s="91">
        <v>52672</v>
      </c>
      <c r="E15" s="91">
        <v>10896</v>
      </c>
      <c r="F15" s="90">
        <f t="shared" si="0"/>
        <v>4.8322935779816509</v>
      </c>
      <c r="G15" s="92">
        <v>9750</v>
      </c>
      <c r="H15" s="91">
        <v>64553</v>
      </c>
      <c r="I15" s="91">
        <v>9713</v>
      </c>
      <c r="J15" s="90">
        <f t="shared" si="1"/>
        <v>6.6208205128205124</v>
      </c>
    </row>
    <row r="16" spans="1:10">
      <c r="B16" s="93">
        <v>2008</v>
      </c>
      <c r="C16" s="92">
        <v>9874</v>
      </c>
      <c r="D16" s="91">
        <v>48030</v>
      </c>
      <c r="E16" s="91">
        <v>9886</v>
      </c>
      <c r="F16" s="90">
        <f t="shared" si="0"/>
        <v>4.8642900546890822</v>
      </c>
      <c r="G16" s="92">
        <v>8350</v>
      </c>
      <c r="H16" s="91">
        <v>55410</v>
      </c>
      <c r="I16" s="91">
        <v>8316</v>
      </c>
      <c r="J16" s="90">
        <f t="shared" si="1"/>
        <v>6.635928143712575</v>
      </c>
    </row>
    <row r="17" spans="1:10">
      <c r="B17" s="93">
        <v>2009</v>
      </c>
      <c r="C17" s="92">
        <v>7000</v>
      </c>
      <c r="D17" s="91">
        <v>44907</v>
      </c>
      <c r="E17" s="91">
        <v>7014</v>
      </c>
      <c r="F17" s="90">
        <f t="shared" si="0"/>
        <v>6.415285714285714</v>
      </c>
      <c r="G17" s="92">
        <v>8350</v>
      </c>
      <c r="H17" s="91">
        <v>49231</v>
      </c>
      <c r="I17" s="91">
        <v>8314</v>
      </c>
      <c r="J17" s="90">
        <f t="shared" si="1"/>
        <v>5.8959281437125748</v>
      </c>
    </row>
    <row r="18" spans="1:10">
      <c r="B18" s="93">
        <v>2010</v>
      </c>
      <c r="C18" s="92">
        <v>7000</v>
      </c>
      <c r="D18" s="91">
        <v>37520</v>
      </c>
      <c r="E18" s="91">
        <v>7029</v>
      </c>
      <c r="F18" s="90">
        <f t="shared" si="0"/>
        <v>5.36</v>
      </c>
      <c r="G18" s="92">
        <v>8300</v>
      </c>
      <c r="H18" s="91">
        <v>43954</v>
      </c>
      <c r="I18" s="91">
        <v>8237</v>
      </c>
      <c r="J18" s="90">
        <f t="shared" si="1"/>
        <v>5.2956626506024094</v>
      </c>
    </row>
    <row r="19" spans="1:10">
      <c r="B19" s="94">
        <v>2011</v>
      </c>
      <c r="C19" s="92">
        <v>3100</v>
      </c>
      <c r="D19" s="91">
        <v>18136</v>
      </c>
      <c r="E19" s="91">
        <v>3086</v>
      </c>
      <c r="F19" s="90">
        <f t="shared" si="0"/>
        <v>5.8503225806451615</v>
      </c>
      <c r="G19" s="92">
        <v>8275</v>
      </c>
      <c r="H19" s="91">
        <v>26932</v>
      </c>
      <c r="I19" s="91">
        <v>7297</v>
      </c>
      <c r="J19" s="90">
        <f t="shared" si="1"/>
        <v>3.2546223564954682</v>
      </c>
    </row>
    <row r="20" spans="1:10">
      <c r="B20" s="93">
        <v>2012</v>
      </c>
      <c r="C20" s="92">
        <v>4903</v>
      </c>
      <c r="D20" s="91">
        <v>18617</v>
      </c>
      <c r="E20" s="91">
        <v>4883</v>
      </c>
      <c r="F20" s="90">
        <f t="shared" si="0"/>
        <v>3.7970630226392004</v>
      </c>
      <c r="G20" s="92">
        <v>8305</v>
      </c>
      <c r="H20" s="91">
        <v>28556</v>
      </c>
      <c r="I20" s="91">
        <v>7478</v>
      </c>
      <c r="J20" s="90">
        <f t="shared" si="1"/>
        <v>3.4384105960264901</v>
      </c>
    </row>
    <row r="21" spans="1:10">
      <c r="B21" s="93">
        <v>2013</v>
      </c>
      <c r="C21" s="92">
        <v>8438</v>
      </c>
      <c r="D21" s="91">
        <v>20548</v>
      </c>
      <c r="E21" s="91">
        <v>8132</v>
      </c>
      <c r="F21" s="90">
        <f t="shared" si="0"/>
        <v>2.4351742118985542</v>
      </c>
      <c r="G21" s="92">
        <v>10632</v>
      </c>
      <c r="H21" s="91">
        <v>32405</v>
      </c>
      <c r="I21" s="91">
        <v>9105</v>
      </c>
      <c r="J21" s="90">
        <f t="shared" si="1"/>
        <v>3.0478743416102332</v>
      </c>
    </row>
    <row r="22" spans="1:10">
      <c r="B22" s="93">
        <v>2014</v>
      </c>
      <c r="C22" s="92">
        <v>16867</v>
      </c>
      <c r="D22" s="91">
        <v>52287</v>
      </c>
      <c r="E22" s="91">
        <v>16063</v>
      </c>
      <c r="F22" s="90">
        <f t="shared" si="0"/>
        <v>3.0999584988438964</v>
      </c>
      <c r="G22" s="92">
        <v>20890</v>
      </c>
      <c r="H22" s="91">
        <v>75118</v>
      </c>
      <c r="I22" s="91">
        <v>16274</v>
      </c>
      <c r="J22" s="90">
        <f t="shared" si="1"/>
        <v>3.5958831977022498</v>
      </c>
    </row>
    <row r="23" spans="1:10">
      <c r="B23" s="93">
        <v>2015</v>
      </c>
      <c r="C23" s="92">
        <v>11758</v>
      </c>
      <c r="D23" s="91">
        <v>35882</v>
      </c>
      <c r="E23" s="91">
        <v>12127</v>
      </c>
      <c r="F23" s="90">
        <f t="shared" si="0"/>
        <v>3.0517094744004081</v>
      </c>
      <c r="G23" s="92">
        <v>12609</v>
      </c>
      <c r="H23" s="91">
        <v>42845</v>
      </c>
      <c r="I23" s="91">
        <v>10933</v>
      </c>
      <c r="J23" s="90">
        <f t="shared" si="1"/>
        <v>3.3979697041795545</v>
      </c>
    </row>
    <row r="24" spans="1:10">
      <c r="B24" s="93">
        <v>2016</v>
      </c>
      <c r="C24" s="92">
        <v>12688</v>
      </c>
      <c r="D24" s="91">
        <v>36877</v>
      </c>
      <c r="E24" s="91">
        <v>12568</v>
      </c>
      <c r="F24" s="90">
        <f t="shared" si="0"/>
        <v>2.9064470365699875</v>
      </c>
      <c r="G24" s="92">
        <v>13170</v>
      </c>
      <c r="H24" s="91">
        <v>44846</v>
      </c>
      <c r="I24" s="91">
        <v>11454</v>
      </c>
      <c r="J24" s="90">
        <f t="shared" si="1"/>
        <v>3.4051632498101747</v>
      </c>
    </row>
    <row r="25" spans="1:10">
      <c r="B25" s="93">
        <v>2017</v>
      </c>
      <c r="C25" s="92">
        <v>12696</v>
      </c>
      <c r="D25" s="91">
        <v>36987</v>
      </c>
      <c r="E25" s="91">
        <v>12691</v>
      </c>
      <c r="F25" s="90">
        <f t="shared" si="0"/>
        <v>2.9132797731569</v>
      </c>
      <c r="G25" s="92">
        <v>13040</v>
      </c>
      <c r="H25" s="91">
        <v>45218</v>
      </c>
      <c r="I25" s="91">
        <v>11163</v>
      </c>
      <c r="J25" s="90">
        <f t="shared" si="1"/>
        <v>3.4676380368098161</v>
      </c>
    </row>
    <row r="26" spans="1:10">
      <c r="B26" s="93">
        <v>2018</v>
      </c>
      <c r="C26" s="92">
        <v>11489</v>
      </c>
      <c r="D26" s="91">
        <v>38704</v>
      </c>
      <c r="E26" s="91">
        <v>11452</v>
      </c>
      <c r="F26" s="90">
        <f t="shared" si="0"/>
        <v>3.3687875359039081</v>
      </c>
      <c r="G26" s="92">
        <v>10538</v>
      </c>
      <c r="H26" s="91">
        <v>44229</v>
      </c>
      <c r="I26" s="91">
        <v>9861</v>
      </c>
      <c r="J26" s="90">
        <f t="shared" si="1"/>
        <v>4.1970962231922568</v>
      </c>
    </row>
    <row r="27" spans="1:10">
      <c r="B27" s="93">
        <v>2019</v>
      </c>
      <c r="C27" s="92">
        <v>10508</v>
      </c>
      <c r="D27" s="91">
        <v>36297</v>
      </c>
      <c r="E27" s="91">
        <v>10321</v>
      </c>
      <c r="F27" s="90">
        <f t="shared" si="0"/>
        <v>3.454225352112676</v>
      </c>
      <c r="G27" s="92">
        <v>10180</v>
      </c>
      <c r="H27" s="91">
        <v>42079</v>
      </c>
      <c r="I27" s="91">
        <v>9195</v>
      </c>
      <c r="J27" s="90">
        <f t="shared" si="1"/>
        <v>4.1334970530451862</v>
      </c>
    </row>
    <row r="28" spans="1:10">
      <c r="B28" s="93">
        <v>2020</v>
      </c>
      <c r="C28" s="92">
        <v>11062</v>
      </c>
      <c r="D28" s="91">
        <v>35512</v>
      </c>
      <c r="E28" s="91">
        <v>11133</v>
      </c>
      <c r="F28" s="90">
        <f t="shared" si="0"/>
        <v>3.2102693907069244</v>
      </c>
      <c r="G28" s="92">
        <v>10170</v>
      </c>
      <c r="H28" s="91">
        <v>39357</v>
      </c>
      <c r="I28" s="91">
        <v>9471</v>
      </c>
      <c r="J28" s="90">
        <f t="shared" si="1"/>
        <v>3.8699115044247789</v>
      </c>
    </row>
    <row r="29" spans="1:10">
      <c r="B29" s="93">
        <v>2021</v>
      </c>
      <c r="C29" s="92">
        <v>9573</v>
      </c>
      <c r="D29" s="91">
        <v>33133</v>
      </c>
      <c r="E29" s="91">
        <v>9416</v>
      </c>
      <c r="F29" s="90">
        <f t="shared" si="0"/>
        <v>3.4610884780110727</v>
      </c>
      <c r="G29" s="92">
        <v>10160</v>
      </c>
      <c r="H29" s="91">
        <v>39531</v>
      </c>
      <c r="I29" s="91">
        <v>9501</v>
      </c>
      <c r="J29" s="90">
        <f t="shared" si="1"/>
        <v>3.8908464566929135</v>
      </c>
    </row>
    <row r="30" spans="1:10">
      <c r="B30" s="93">
        <v>2022</v>
      </c>
      <c r="C30" s="92">
        <v>9448</v>
      </c>
      <c r="D30" s="91">
        <v>18658</v>
      </c>
      <c r="E30" s="91">
        <v>7838</v>
      </c>
      <c r="F30" s="90">
        <f t="shared" si="0"/>
        <v>1.974809483488569</v>
      </c>
      <c r="G30" s="92">
        <v>10120</v>
      </c>
      <c r="H30" s="91">
        <v>27000</v>
      </c>
      <c r="I30" s="91">
        <v>7960</v>
      </c>
      <c r="J30" s="90">
        <f t="shared" si="1"/>
        <v>2.6679841897233203</v>
      </c>
    </row>
    <row r="31" spans="1:10" ht="15" thickBot="1">
      <c r="B31" s="89">
        <v>2023</v>
      </c>
      <c r="C31" s="88">
        <v>9332</v>
      </c>
      <c r="D31" s="87">
        <v>23132</v>
      </c>
      <c r="E31" s="86">
        <v>8318</v>
      </c>
      <c r="F31" s="85">
        <f t="shared" si="0"/>
        <v>2.4787826832404631</v>
      </c>
      <c r="G31" s="88">
        <v>9583</v>
      </c>
      <c r="H31" s="87">
        <v>27360</v>
      </c>
      <c r="I31" s="86">
        <v>8162</v>
      </c>
      <c r="J31" s="85">
        <f t="shared" si="1"/>
        <v>2.8550558280288012</v>
      </c>
    </row>
    <row r="32" spans="1:10" ht="15" thickTop="1">
      <c r="A32" s="84"/>
      <c r="B32" s="84"/>
      <c r="C32" s="84"/>
      <c r="D32" s="84"/>
      <c r="E32" s="84"/>
    </row>
    <row r="33" spans="1:5">
      <c r="A33" s="84"/>
      <c r="B33" s="84"/>
      <c r="C33" s="84"/>
      <c r="D33" s="84"/>
      <c r="E33" s="84"/>
    </row>
    <row r="34" spans="1:5">
      <c r="A34" s="84"/>
      <c r="B34" s="84"/>
      <c r="C34" s="84"/>
      <c r="D34" s="84"/>
      <c r="E34" s="84"/>
    </row>
  </sheetData>
  <mergeCells count="2">
    <mergeCell ref="C6:F6"/>
    <mergeCell ref="G6:J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0"/>
  <dimension ref="A1:N9"/>
  <sheetViews>
    <sheetView zoomScale="75" zoomScaleNormal="100" workbookViewId="0">
      <selection activeCell="G28" sqref="G28"/>
    </sheetView>
  </sheetViews>
  <sheetFormatPr baseColWidth="10" defaultRowHeight="14.5"/>
  <cols>
    <col min="2" max="2" width="20.36328125" customWidth="1"/>
  </cols>
  <sheetData>
    <row r="1" spans="1:14">
      <c r="A1" t="s">
        <v>10</v>
      </c>
      <c r="B1" s="52" t="s">
        <v>553</v>
      </c>
    </row>
    <row r="2" spans="1:14">
      <c r="A2" t="s">
        <v>9</v>
      </c>
      <c r="B2" t="s">
        <v>535</v>
      </c>
    </row>
    <row r="3" spans="1:14">
      <c r="A3" t="s">
        <v>468</v>
      </c>
      <c r="B3" t="s">
        <v>555</v>
      </c>
    </row>
    <row r="4" spans="1:14">
      <c r="B4" t="s">
        <v>556</v>
      </c>
    </row>
    <row r="5" spans="1:14" ht="15" thickBot="1"/>
    <row r="6" spans="1:14" ht="15.5" thickTop="1" thickBot="1">
      <c r="B6" s="71" t="s">
        <v>35</v>
      </c>
      <c r="C6" s="70">
        <v>2011</v>
      </c>
      <c r="D6" s="69">
        <v>2012</v>
      </c>
      <c r="E6" s="69">
        <v>2013</v>
      </c>
      <c r="F6" s="69">
        <v>2014</v>
      </c>
      <c r="G6" s="69">
        <v>2015</v>
      </c>
      <c r="H6" s="69">
        <v>2016</v>
      </c>
      <c r="I6" s="69">
        <v>2017</v>
      </c>
      <c r="J6" s="69">
        <v>2018</v>
      </c>
      <c r="K6" s="69">
        <v>2019</v>
      </c>
      <c r="L6" s="69">
        <v>2020</v>
      </c>
      <c r="M6" s="372" t="s">
        <v>554</v>
      </c>
      <c r="N6" s="373">
        <v>2022</v>
      </c>
    </row>
    <row r="7" spans="1:14" ht="15" thickTop="1">
      <c r="B7" s="64" t="s">
        <v>54</v>
      </c>
      <c r="C7" s="375">
        <f>'Graphique 33'!C15/'Graphique 33'!C10</f>
        <v>5.6295601008685896</v>
      </c>
      <c r="D7" s="376">
        <f>'Graphique 33'!D15/'Graphique 33'!D10</f>
        <v>5.5831164497831161</v>
      </c>
      <c r="E7" s="376">
        <f>'Graphique 33'!E15/'Graphique 33'!E10</f>
        <v>5.3569285283474057</v>
      </c>
      <c r="F7" s="376">
        <f>'Graphique 33'!F15/'Graphique 33'!F10</f>
        <v>5.220271763864508</v>
      </c>
      <c r="G7" s="376">
        <f>'Graphique 33'!G15/'Graphique 33'!G10</f>
        <v>5.2357964825939058</v>
      </c>
      <c r="H7" s="376">
        <f>'Graphique 33'!H15/'Graphique 33'!H10</f>
        <v>6.7010974822466105</v>
      </c>
      <c r="I7" s="376">
        <f>'Graphique 33'!I15/'Graphique 33'!I10</f>
        <v>4.3085302644294119</v>
      </c>
      <c r="J7" s="376">
        <f>'Graphique 33'!J15/'Graphique 33'!J10</f>
        <v>4.5852503944855076</v>
      </c>
      <c r="K7" s="376">
        <f>'Graphique 33'!K15/'Graphique 33'!K10</f>
        <v>4.8641080869394946</v>
      </c>
      <c r="L7" s="376">
        <f>'Graphique 33'!L15/'Graphique 33'!L10</f>
        <v>2.5580485467901628</v>
      </c>
      <c r="M7" s="377">
        <f>AVERAGE(L7,N7)</f>
        <v>3.028075969504326</v>
      </c>
      <c r="N7" s="378">
        <f>'Graphique 33'!N15/'Graphique 33'!N10</f>
        <v>3.4981033922184892</v>
      </c>
    </row>
    <row r="8" spans="1:14" ht="15" thickBot="1">
      <c r="B8" s="155" t="s">
        <v>55</v>
      </c>
      <c r="C8" s="379">
        <f>'Graphique 33'!C14/'Graphique 33'!C9</f>
        <v>5.3571359046112663</v>
      </c>
      <c r="D8" s="380">
        <f>'Graphique 33'!D14/'Graphique 33'!D9</f>
        <v>5.2696842839699984</v>
      </c>
      <c r="E8" s="380">
        <f>'Graphique 33'!E14/'Graphique 33'!E9</f>
        <v>5.1339252584150534</v>
      </c>
      <c r="F8" s="380">
        <f>'Graphique 33'!F14/'Graphique 33'!F9</f>
        <v>4.9412965050732804</v>
      </c>
      <c r="G8" s="380">
        <f>'Graphique 33'!G14/'Graphique 33'!G9</f>
        <v>5.110183533010451</v>
      </c>
      <c r="H8" s="380">
        <f>'Graphique 33'!H14/'Graphique 33'!H9</f>
        <v>6.4086785747685404</v>
      </c>
      <c r="I8" s="380">
        <f>'Graphique 33'!I14/'Graphique 33'!I9</f>
        <v>4.0979852799048402</v>
      </c>
      <c r="J8" s="380">
        <f>'Graphique 33'!J14/'Graphique 33'!J9</f>
        <v>4.4742335290280497</v>
      </c>
      <c r="K8" s="380">
        <f>'Graphique 33'!K14/'Graphique 33'!K9</f>
        <v>4.6196422544718194</v>
      </c>
      <c r="L8" s="380">
        <f>'Graphique 33'!L14/'Graphique 33'!L9</f>
        <v>2.8863976083707024</v>
      </c>
      <c r="M8" s="381">
        <f>AVERAGE(L8,N8)</f>
        <v>3.1308509780983949</v>
      </c>
      <c r="N8" s="382">
        <f>'Graphique 33'!N14/'Graphique 33'!N9</f>
        <v>3.3753043478260869</v>
      </c>
    </row>
    <row r="9" spans="1:14" ht="15" thickTop="1"/>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1"/>
  <dimension ref="A1:P31"/>
  <sheetViews>
    <sheetView topLeftCell="A7" zoomScale="73" zoomScaleNormal="100" workbookViewId="0">
      <selection activeCell="H25" sqref="H25"/>
    </sheetView>
  </sheetViews>
  <sheetFormatPr baseColWidth="10" defaultRowHeight="14.5"/>
  <cols>
    <col min="2" max="2" width="22.26953125" customWidth="1"/>
  </cols>
  <sheetData>
    <row r="1" spans="1:16">
      <c r="A1" s="111" t="s">
        <v>10</v>
      </c>
      <c r="B1" s="137" t="s">
        <v>58</v>
      </c>
      <c r="C1" s="111"/>
      <c r="D1" s="111"/>
      <c r="E1" s="111"/>
      <c r="F1" s="111"/>
      <c r="G1" s="111"/>
      <c r="H1" s="111"/>
      <c r="I1" s="111"/>
      <c r="J1" s="111"/>
      <c r="K1" s="111"/>
      <c r="L1" s="111"/>
      <c r="M1" s="111"/>
      <c r="N1" s="111"/>
      <c r="O1" s="111"/>
      <c r="P1" s="111"/>
    </row>
    <row r="2" spans="1:16">
      <c r="A2" s="111" t="s">
        <v>9</v>
      </c>
      <c r="B2" s="137" t="s">
        <v>535</v>
      </c>
      <c r="C2" s="111"/>
      <c r="D2" s="111"/>
      <c r="E2" s="111"/>
      <c r="F2" s="111"/>
      <c r="G2" s="111"/>
      <c r="H2" s="111"/>
      <c r="I2" s="111"/>
      <c r="J2" s="111"/>
      <c r="K2" s="111"/>
      <c r="L2" s="111"/>
      <c r="M2" s="111"/>
      <c r="N2" s="111"/>
      <c r="O2" s="111"/>
      <c r="P2" s="111"/>
    </row>
    <row r="3" spans="1:16">
      <c r="A3" s="111" t="s">
        <v>65</v>
      </c>
      <c r="B3" s="137" t="s">
        <v>562</v>
      </c>
      <c r="C3" s="111"/>
      <c r="D3" s="111"/>
      <c r="E3" s="111"/>
      <c r="F3" s="111"/>
      <c r="G3" s="111"/>
      <c r="H3" s="111"/>
      <c r="I3" s="111"/>
      <c r="J3" s="111"/>
      <c r="K3" s="111"/>
      <c r="L3" s="111"/>
      <c r="M3" s="111"/>
      <c r="N3" s="111"/>
      <c r="O3" s="111"/>
      <c r="P3" s="111"/>
    </row>
    <row r="4" spans="1:16" ht="15" thickBot="1">
      <c r="A4" s="135"/>
      <c r="B4" s="136"/>
      <c r="C4" s="135"/>
      <c r="D4" s="135"/>
      <c r="E4" s="135"/>
      <c r="F4" s="135"/>
      <c r="G4" s="135"/>
      <c r="H4" s="111"/>
      <c r="I4" s="111"/>
      <c r="J4" s="111"/>
      <c r="K4" s="111"/>
      <c r="L4" s="111"/>
      <c r="M4" s="111"/>
      <c r="N4" s="111"/>
      <c r="O4" s="111"/>
      <c r="P4" s="111"/>
    </row>
    <row r="5" spans="1:16" ht="15.5" thickTop="1" thickBot="1">
      <c r="A5" s="111"/>
      <c r="B5" s="134"/>
      <c r="C5" s="133"/>
      <c r="D5" s="132">
        <v>2011</v>
      </c>
      <c r="E5" s="131">
        <v>2012</v>
      </c>
      <c r="F5" s="131">
        <v>2013</v>
      </c>
      <c r="G5" s="131">
        <v>2014</v>
      </c>
      <c r="H5" s="131">
        <v>2015</v>
      </c>
      <c r="I5" s="131">
        <v>2016</v>
      </c>
      <c r="J5" s="131">
        <v>2017</v>
      </c>
      <c r="K5" s="131">
        <v>2018</v>
      </c>
      <c r="L5" s="131">
        <v>2019</v>
      </c>
      <c r="M5" s="131">
        <v>2020</v>
      </c>
      <c r="N5" s="131">
        <v>2021</v>
      </c>
      <c r="O5" s="130">
        <v>2022</v>
      </c>
      <c r="P5" s="111"/>
    </row>
    <row r="6" spans="1:16" ht="15" thickTop="1">
      <c r="A6" s="111"/>
      <c r="B6" s="129" t="s">
        <v>57</v>
      </c>
      <c r="C6" s="125" t="s">
        <v>41</v>
      </c>
      <c r="D6" s="324">
        <v>6.2</v>
      </c>
      <c r="E6" s="120">
        <v>7</v>
      </c>
      <c r="F6" s="120">
        <v>3.9</v>
      </c>
      <c r="G6" s="120">
        <v>6.3</v>
      </c>
      <c r="H6" s="120">
        <v>3.6410590277777777</v>
      </c>
      <c r="I6" s="120">
        <v>6.5</v>
      </c>
      <c r="J6" s="120">
        <v>3.8</v>
      </c>
      <c r="K6" s="120">
        <v>5.3023606228026114</v>
      </c>
      <c r="L6" s="120">
        <v>3.1976237623762378</v>
      </c>
      <c r="M6" s="119">
        <v>4.33021483021483</v>
      </c>
      <c r="N6" s="119">
        <v>3.5408062930186825</v>
      </c>
      <c r="O6" s="118">
        <v>4.5570658542301379</v>
      </c>
      <c r="P6" s="111"/>
    </row>
    <row r="7" spans="1:16">
      <c r="A7" s="111"/>
      <c r="B7" s="128"/>
      <c r="C7" s="121" t="s">
        <v>40</v>
      </c>
      <c r="D7" s="324">
        <v>6</v>
      </c>
      <c r="E7" s="120">
        <v>4.5999999999999996</v>
      </c>
      <c r="F7" s="120">
        <v>6.1</v>
      </c>
      <c r="G7" s="120">
        <v>5</v>
      </c>
      <c r="H7" s="120">
        <v>5.86131544785807</v>
      </c>
      <c r="I7" s="120">
        <v>5</v>
      </c>
      <c r="J7" s="120">
        <v>5.6</v>
      </c>
      <c r="K7" s="120">
        <v>3.581308777429467</v>
      </c>
      <c r="L7" s="120">
        <v>5.9861058956064586</v>
      </c>
      <c r="M7" s="119">
        <v>3.8402930402930404</v>
      </c>
      <c r="N7" s="119">
        <v>4.7505020080321287</v>
      </c>
      <c r="O7" s="118">
        <v>4.1701957009945456</v>
      </c>
      <c r="P7" s="111"/>
    </row>
    <row r="8" spans="1:16" ht="15" thickBot="1">
      <c r="A8" s="111"/>
      <c r="B8" s="127"/>
      <c r="C8" s="116" t="s">
        <v>39</v>
      </c>
      <c r="D8" s="326">
        <v>6.6</v>
      </c>
      <c r="E8" s="115">
        <v>6.7</v>
      </c>
      <c r="F8" s="115">
        <v>6.6</v>
      </c>
      <c r="G8" s="115">
        <v>7.3</v>
      </c>
      <c r="H8" s="115">
        <v>6.7715717201707184</v>
      </c>
      <c r="I8" s="115">
        <v>9.6</v>
      </c>
      <c r="J8" s="115">
        <v>4.0999999999999996</v>
      </c>
      <c r="K8" s="115">
        <v>7.8220463207270594</v>
      </c>
      <c r="L8" s="115">
        <v>7.6606113033448677</v>
      </c>
      <c r="M8" s="114">
        <v>5.3665530948324811</v>
      </c>
      <c r="N8" s="114">
        <v>4.6438039457459928</v>
      </c>
      <c r="O8" s="113">
        <v>5.2785531187695813</v>
      </c>
      <c r="P8" s="111"/>
    </row>
    <row r="9" spans="1:16" ht="25.5" thickTop="1">
      <c r="A9" s="111"/>
      <c r="B9" s="126" t="s">
        <v>56</v>
      </c>
      <c r="C9" s="125" t="s">
        <v>41</v>
      </c>
      <c r="D9" s="322">
        <v>13.6</v>
      </c>
      <c r="E9" s="124">
        <v>18.3</v>
      </c>
      <c r="F9" s="124">
        <v>8.5</v>
      </c>
      <c r="G9" s="124">
        <v>8.1</v>
      </c>
      <c r="H9" s="124">
        <v>9.7666666666666675</v>
      </c>
      <c r="I9" s="124">
        <v>9.1999999999999993</v>
      </c>
      <c r="J9" s="124">
        <v>5.4</v>
      </c>
      <c r="K9" s="124">
        <v>8.3090909090909086</v>
      </c>
      <c r="L9" s="124">
        <v>3.1691729323308269</v>
      </c>
      <c r="M9" s="123">
        <v>5.8367346938775508</v>
      </c>
      <c r="N9" s="123">
        <v>4.2198275862068968</v>
      </c>
      <c r="O9" s="323">
        <v>2.7507987220447285</v>
      </c>
      <c r="P9" s="111"/>
    </row>
    <row r="10" spans="1:16">
      <c r="A10" s="111"/>
      <c r="B10" s="122"/>
      <c r="C10" s="121" t="s">
        <v>40</v>
      </c>
      <c r="D10" s="324">
        <v>9.9</v>
      </c>
      <c r="E10" s="120">
        <v>8.3000000000000007</v>
      </c>
      <c r="F10" s="120">
        <v>16.899999999999999</v>
      </c>
      <c r="G10" s="120">
        <v>12.2</v>
      </c>
      <c r="H10" s="120">
        <v>11.988326848249027</v>
      </c>
      <c r="I10" s="120">
        <v>12.1</v>
      </c>
      <c r="J10" s="120">
        <v>11.1</v>
      </c>
      <c r="K10" s="120">
        <v>4.6926952141057932</v>
      </c>
      <c r="L10" s="120">
        <v>8.9252873563218387</v>
      </c>
      <c r="M10" s="119">
        <v>7.9488372093023258</v>
      </c>
      <c r="N10" s="119">
        <v>6.7241379310344831</v>
      </c>
      <c r="O10" s="325">
        <v>6.5388601036269431</v>
      </c>
      <c r="P10" s="111"/>
    </row>
    <row r="11" spans="1:16" ht="15" thickBot="1">
      <c r="A11" s="111"/>
      <c r="B11" s="117"/>
      <c r="C11" s="116" t="s">
        <v>39</v>
      </c>
      <c r="D11" s="326">
        <v>5.5</v>
      </c>
      <c r="E11" s="115">
        <v>9.9</v>
      </c>
      <c r="F11" s="115">
        <v>8.1</v>
      </c>
      <c r="G11" s="115">
        <v>7.1</v>
      </c>
      <c r="H11" s="115">
        <v>8.218146718146718</v>
      </c>
      <c r="I11" s="115">
        <v>13.5</v>
      </c>
      <c r="J11" s="115">
        <v>9.1999999999999993</v>
      </c>
      <c r="K11" s="115">
        <v>9.4372469635627532</v>
      </c>
      <c r="L11" s="115">
        <v>5.1790123456790127</v>
      </c>
      <c r="M11" s="114">
        <v>5.1783783783783788</v>
      </c>
      <c r="N11" s="114">
        <v>4.6792452830188678</v>
      </c>
      <c r="O11" s="327">
        <v>2.9373996789727128</v>
      </c>
      <c r="P11" s="111"/>
    </row>
    <row r="12" spans="1:16" ht="15" thickTop="1">
      <c r="A12" s="111"/>
      <c r="B12" s="112"/>
      <c r="C12" s="111"/>
      <c r="D12" s="111"/>
      <c r="E12" s="111"/>
      <c r="F12" s="111"/>
      <c r="G12" s="111"/>
      <c r="H12" s="111"/>
      <c r="I12" s="111"/>
      <c r="J12" s="111"/>
      <c r="K12" s="111"/>
      <c r="L12" s="111"/>
      <c r="M12" s="111"/>
      <c r="N12" s="111"/>
      <c r="O12" s="111"/>
      <c r="P12" s="111"/>
    </row>
    <row r="13" spans="1:16">
      <c r="A13" s="111"/>
      <c r="B13" s="112"/>
      <c r="C13" s="111"/>
      <c r="D13" s="111"/>
      <c r="E13" s="111"/>
      <c r="F13" s="111"/>
      <c r="G13" s="111"/>
      <c r="H13" s="111"/>
      <c r="I13" s="111"/>
      <c r="J13" s="111"/>
      <c r="K13" s="111"/>
      <c r="L13" s="111"/>
      <c r="M13" s="111"/>
      <c r="N13" s="111"/>
      <c r="O13" s="111"/>
      <c r="P13" s="111"/>
    </row>
    <row r="14" spans="1:16">
      <c r="A14" s="111"/>
      <c r="B14" s="112"/>
      <c r="C14" s="111"/>
      <c r="D14" s="111"/>
      <c r="E14" s="111"/>
      <c r="F14" s="111"/>
      <c r="G14" s="111"/>
      <c r="H14" s="111"/>
      <c r="I14" s="111"/>
      <c r="J14" s="111"/>
      <c r="K14" s="111"/>
      <c r="L14" s="111"/>
      <c r="M14" s="111"/>
      <c r="N14" s="111"/>
      <c r="O14" s="111"/>
      <c r="P14" s="111"/>
    </row>
    <row r="15" spans="1:16">
      <c r="A15" s="111"/>
      <c r="B15" s="112"/>
      <c r="C15" s="111"/>
      <c r="D15" s="111"/>
      <c r="E15" s="111"/>
      <c r="F15" s="111"/>
      <c r="G15" s="111"/>
      <c r="H15" s="111"/>
      <c r="I15" s="111"/>
      <c r="J15" s="111"/>
      <c r="K15" s="111"/>
      <c r="L15" s="111"/>
      <c r="M15" s="111"/>
      <c r="N15" s="111"/>
      <c r="O15" s="111"/>
      <c r="P15" s="111"/>
    </row>
    <row r="16" spans="1:16">
      <c r="A16" s="111"/>
      <c r="B16" s="112"/>
      <c r="C16" s="111"/>
      <c r="D16" s="111"/>
      <c r="E16" s="111"/>
      <c r="F16" s="111"/>
      <c r="G16" s="111"/>
      <c r="H16" s="111"/>
      <c r="I16" s="111"/>
      <c r="J16" s="111"/>
      <c r="K16" s="111"/>
      <c r="L16" s="111"/>
      <c r="M16" s="111"/>
      <c r="N16" s="111"/>
      <c r="O16" s="111"/>
      <c r="P16" s="111"/>
    </row>
    <row r="17" spans="1:16">
      <c r="A17" s="111"/>
      <c r="B17" s="112"/>
      <c r="C17" s="111"/>
      <c r="D17" s="111"/>
      <c r="E17" s="111"/>
      <c r="F17" s="111"/>
      <c r="G17" s="111"/>
      <c r="H17" s="111"/>
      <c r="I17" s="111"/>
      <c r="J17" s="111"/>
      <c r="K17" s="111"/>
      <c r="L17" s="111"/>
      <c r="M17" s="111"/>
      <c r="N17" s="111"/>
      <c r="O17" s="111"/>
      <c r="P17" s="111"/>
    </row>
    <row r="18" spans="1:16">
      <c r="A18" s="111"/>
      <c r="B18" s="112"/>
      <c r="C18" s="111"/>
      <c r="D18" s="111"/>
      <c r="E18" s="111"/>
      <c r="F18" s="111"/>
      <c r="G18" s="111"/>
      <c r="H18" s="111"/>
      <c r="I18" s="111"/>
      <c r="J18" s="111"/>
      <c r="K18" s="111"/>
      <c r="L18" s="111"/>
      <c r="M18" s="111"/>
      <c r="N18" s="111"/>
      <c r="O18" s="111"/>
      <c r="P18" s="111"/>
    </row>
    <row r="19" spans="1:16">
      <c r="A19" s="111"/>
      <c r="B19" s="112"/>
      <c r="C19" s="111"/>
      <c r="D19" s="111"/>
      <c r="E19" s="111"/>
      <c r="F19" s="111"/>
      <c r="G19" s="111"/>
      <c r="H19" s="111"/>
      <c r="I19" s="111"/>
      <c r="J19" s="111"/>
      <c r="K19" s="111"/>
      <c r="L19" s="111"/>
      <c r="M19" s="111"/>
      <c r="N19" s="111"/>
      <c r="O19" s="111"/>
      <c r="P19" s="111"/>
    </row>
    <row r="20" spans="1:16">
      <c r="A20" s="111"/>
      <c r="B20" s="112"/>
      <c r="C20" s="111"/>
      <c r="D20" s="111"/>
      <c r="E20" s="111"/>
      <c r="F20" s="111"/>
      <c r="G20" s="111"/>
      <c r="H20" s="111"/>
      <c r="I20" s="111"/>
      <c r="J20" s="111"/>
      <c r="K20" s="111"/>
      <c r="L20" s="111"/>
      <c r="M20" s="111"/>
      <c r="N20" s="111"/>
      <c r="O20" s="111"/>
      <c r="P20" s="111"/>
    </row>
    <row r="21" spans="1:16">
      <c r="A21" s="111"/>
      <c r="B21" s="112"/>
      <c r="C21" s="111"/>
      <c r="D21" s="111"/>
      <c r="E21" s="111"/>
      <c r="F21" s="111"/>
      <c r="G21" s="111"/>
      <c r="H21" s="111"/>
      <c r="I21" s="111"/>
      <c r="J21" s="111"/>
      <c r="K21" s="111"/>
      <c r="L21" s="111"/>
      <c r="M21" s="111"/>
      <c r="N21" s="111"/>
      <c r="O21" s="111"/>
      <c r="P21" s="111"/>
    </row>
    <row r="22" spans="1:16">
      <c r="A22" s="111"/>
      <c r="B22" s="112"/>
      <c r="C22" s="111"/>
      <c r="D22" s="111"/>
      <c r="E22" s="111"/>
      <c r="F22" s="111"/>
      <c r="G22" s="111"/>
      <c r="H22" s="111"/>
      <c r="I22" s="111"/>
      <c r="J22" s="111"/>
      <c r="K22" s="111"/>
      <c r="L22" s="111"/>
      <c r="M22" s="111"/>
      <c r="N22" s="111"/>
      <c r="O22" s="111"/>
      <c r="P22" s="111"/>
    </row>
    <row r="23" spans="1:16">
      <c r="A23" s="111"/>
      <c r="B23" s="112"/>
      <c r="C23" s="111"/>
      <c r="D23" s="111"/>
      <c r="E23" s="111"/>
      <c r="F23" s="111"/>
      <c r="G23" s="111"/>
      <c r="H23" s="111"/>
      <c r="I23" s="111"/>
      <c r="J23" s="111"/>
      <c r="K23" s="111"/>
      <c r="L23" s="111"/>
      <c r="M23" s="111"/>
      <c r="N23" s="111"/>
      <c r="O23" s="111"/>
      <c r="P23" s="111"/>
    </row>
    <row r="24" spans="1:16">
      <c r="A24" s="111"/>
      <c r="B24" s="112"/>
      <c r="C24" s="111"/>
      <c r="D24" s="111"/>
      <c r="E24" s="111"/>
      <c r="F24" s="111"/>
      <c r="G24" s="111"/>
      <c r="H24" s="111"/>
      <c r="I24" s="111"/>
      <c r="J24" s="111"/>
      <c r="K24" s="111"/>
      <c r="L24" s="111"/>
      <c r="M24" s="111"/>
      <c r="N24" s="111"/>
      <c r="O24" s="111"/>
      <c r="P24" s="111"/>
    </row>
    <row r="25" spans="1:16">
      <c r="A25" s="111"/>
      <c r="B25" s="112"/>
      <c r="C25" s="111"/>
      <c r="D25" s="111"/>
      <c r="E25" s="111"/>
      <c r="F25" s="111"/>
      <c r="G25" s="111"/>
      <c r="H25" s="111"/>
      <c r="I25" s="111"/>
      <c r="J25" s="111"/>
      <c r="K25" s="111"/>
      <c r="L25" s="111"/>
      <c r="M25" s="111"/>
      <c r="N25" s="111"/>
      <c r="O25" s="111"/>
      <c r="P25" s="111"/>
    </row>
    <row r="26" spans="1:16">
      <c r="A26" s="111"/>
      <c r="B26" s="112"/>
      <c r="C26" s="111"/>
      <c r="D26" s="111"/>
      <c r="E26" s="111"/>
      <c r="F26" s="111"/>
      <c r="G26" s="111"/>
      <c r="H26" s="111"/>
      <c r="I26" s="111"/>
      <c r="J26" s="111"/>
      <c r="K26" s="111"/>
      <c r="L26" s="111"/>
      <c r="M26" s="111"/>
      <c r="N26" s="111"/>
      <c r="O26" s="111"/>
      <c r="P26" s="111"/>
    </row>
    <row r="27" spans="1:16">
      <c r="A27" s="111"/>
      <c r="B27" s="112"/>
      <c r="C27" s="111"/>
      <c r="D27" s="111"/>
      <c r="E27" s="111"/>
      <c r="F27" s="111"/>
      <c r="G27" s="111"/>
      <c r="H27" s="111"/>
      <c r="I27" s="111"/>
      <c r="J27" s="111"/>
      <c r="K27" s="111"/>
      <c r="L27" s="111"/>
      <c r="M27" s="111"/>
      <c r="N27" s="111"/>
      <c r="O27" s="111"/>
      <c r="P27" s="111"/>
    </row>
    <row r="28" spans="1:16">
      <c r="A28" s="111"/>
      <c r="B28" s="112"/>
      <c r="C28" s="111"/>
      <c r="D28" s="111"/>
      <c r="E28" s="111"/>
      <c r="F28" s="111"/>
      <c r="G28" s="111"/>
      <c r="H28" s="111"/>
      <c r="I28" s="111"/>
      <c r="J28" s="111"/>
      <c r="K28" s="111"/>
      <c r="L28" s="111"/>
      <c r="M28" s="111"/>
      <c r="N28" s="111"/>
      <c r="O28" s="111"/>
      <c r="P28" s="111"/>
    </row>
    <row r="29" spans="1:16">
      <c r="A29" s="111"/>
      <c r="B29" s="112"/>
      <c r="C29" s="111"/>
      <c r="D29" s="111"/>
      <c r="E29" s="111"/>
      <c r="F29" s="111"/>
      <c r="G29" s="111"/>
      <c r="H29" s="111"/>
      <c r="I29" s="111"/>
      <c r="J29" s="111"/>
      <c r="K29" s="111"/>
      <c r="L29" s="111"/>
      <c r="M29" s="111"/>
      <c r="N29" s="111"/>
      <c r="O29" s="111"/>
      <c r="P29" s="111"/>
    </row>
    <row r="30" spans="1:16">
      <c r="A30" s="111"/>
      <c r="B30" s="112"/>
      <c r="C30" s="111"/>
      <c r="D30" s="111"/>
      <c r="E30" s="111"/>
      <c r="F30" s="111"/>
      <c r="G30" s="111"/>
      <c r="H30" s="111"/>
      <c r="I30" s="111"/>
      <c r="J30" s="111"/>
      <c r="K30" s="111"/>
      <c r="L30" s="111"/>
      <c r="M30" s="111"/>
      <c r="N30" s="111"/>
      <c r="O30" s="111"/>
      <c r="P30" s="111"/>
    </row>
    <row r="31" spans="1:16">
      <c r="A31" s="111"/>
      <c r="B31" s="112"/>
      <c r="C31" s="111"/>
      <c r="D31" s="111"/>
      <c r="E31" s="111"/>
      <c r="F31" s="111"/>
      <c r="G31" s="111"/>
      <c r="H31" s="111"/>
      <c r="I31" s="111"/>
      <c r="J31" s="111"/>
      <c r="K31" s="111"/>
      <c r="L31" s="111"/>
      <c r="M31" s="111"/>
      <c r="N31" s="111"/>
      <c r="O31" s="111"/>
      <c r="P31" s="111"/>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2"/>
  <dimension ref="A1:AD22"/>
  <sheetViews>
    <sheetView topLeftCell="A16" zoomScale="57" zoomScaleNormal="85" workbookViewId="0">
      <selection activeCell="B7" sqref="B7:B9"/>
    </sheetView>
  </sheetViews>
  <sheetFormatPr baseColWidth="10" defaultRowHeight="14.5"/>
  <cols>
    <col min="3" max="3" width="23.36328125" customWidth="1"/>
  </cols>
  <sheetData>
    <row r="1" spans="1:30">
      <c r="A1" t="s">
        <v>10</v>
      </c>
      <c r="B1" t="s">
        <v>570</v>
      </c>
    </row>
    <row r="2" spans="1:30">
      <c r="A2" t="s">
        <v>9</v>
      </c>
      <c r="B2" t="s">
        <v>535</v>
      </c>
    </row>
    <row r="3" spans="1:30">
      <c r="A3" t="s">
        <v>8</v>
      </c>
      <c r="B3" t="s">
        <v>7</v>
      </c>
    </row>
    <row r="4" spans="1:30">
      <c r="A4" t="s">
        <v>65</v>
      </c>
      <c r="B4" t="s">
        <v>557</v>
      </c>
    </row>
    <row r="5" spans="1:30" ht="15" thickBot="1"/>
    <row r="6" spans="1:30" ht="15.5" thickTop="1" thickBot="1">
      <c r="B6" s="152" t="s">
        <v>54</v>
      </c>
      <c r="C6" s="151"/>
      <c r="D6" s="394">
        <v>1997</v>
      </c>
      <c r="E6" s="150">
        <v>1999</v>
      </c>
      <c r="F6" s="150">
        <v>2000</v>
      </c>
      <c r="G6" s="150">
        <v>2001</v>
      </c>
      <c r="H6" s="150">
        <v>2002</v>
      </c>
      <c r="I6" s="150">
        <v>2003</v>
      </c>
      <c r="J6" s="150">
        <v>2004</v>
      </c>
      <c r="K6" s="150">
        <v>2005</v>
      </c>
      <c r="L6" s="150">
        <v>2006</v>
      </c>
      <c r="M6" s="150">
        <v>2007</v>
      </c>
      <c r="N6" s="150">
        <v>2008</v>
      </c>
      <c r="O6" s="150">
        <v>2009</v>
      </c>
      <c r="P6" s="150">
        <v>2010</v>
      </c>
      <c r="Q6" s="150">
        <v>2011</v>
      </c>
      <c r="R6" s="150">
        <v>2012</v>
      </c>
      <c r="S6" s="150">
        <v>2013</v>
      </c>
      <c r="T6" s="150">
        <v>2014</v>
      </c>
      <c r="U6" s="150">
        <v>2015</v>
      </c>
      <c r="V6" s="150">
        <v>2016</v>
      </c>
      <c r="W6" s="150">
        <v>2017</v>
      </c>
      <c r="X6" s="150">
        <v>2018</v>
      </c>
      <c r="Y6" s="150">
        <v>2019</v>
      </c>
      <c r="Z6" s="150">
        <v>2020</v>
      </c>
      <c r="AA6" s="150">
        <v>2021</v>
      </c>
      <c r="AB6" s="150">
        <v>2022</v>
      </c>
      <c r="AC6" s="395">
        <v>2023</v>
      </c>
      <c r="AD6" s="149"/>
    </row>
    <row r="7" spans="1:30" ht="15" thickTop="1">
      <c r="B7" s="418" t="s">
        <v>571</v>
      </c>
      <c r="C7" s="383" t="s">
        <v>31</v>
      </c>
      <c r="D7" s="386"/>
      <c r="E7" s="143"/>
      <c r="F7" s="143"/>
      <c r="G7" s="142">
        <v>2319</v>
      </c>
      <c r="H7" s="142">
        <v>2735</v>
      </c>
      <c r="I7" s="142">
        <v>2584</v>
      </c>
      <c r="J7" s="142">
        <v>3434</v>
      </c>
      <c r="K7" s="142">
        <v>4034</v>
      </c>
      <c r="L7" s="142">
        <v>3578</v>
      </c>
      <c r="M7" s="142">
        <v>2996</v>
      </c>
      <c r="N7" s="142">
        <v>3009</v>
      </c>
      <c r="O7" s="142">
        <v>3418</v>
      </c>
      <c r="P7" s="142">
        <v>3239</v>
      </c>
      <c r="Q7" s="142">
        <v>3090</v>
      </c>
      <c r="R7" s="142">
        <v>3199</v>
      </c>
      <c r="S7" s="142">
        <v>3162</v>
      </c>
      <c r="T7" s="142">
        <v>3070</v>
      </c>
      <c r="U7" s="142">
        <v>2778</v>
      </c>
      <c r="V7" s="142">
        <v>2730</v>
      </c>
      <c r="W7" s="142">
        <v>2530</v>
      </c>
      <c r="X7" s="142">
        <v>2072</v>
      </c>
      <c r="Y7" s="142">
        <v>1104</v>
      </c>
      <c r="Z7" s="142">
        <v>4632</v>
      </c>
      <c r="AA7" s="142">
        <v>3745</v>
      </c>
      <c r="AB7" s="142">
        <v>3613</v>
      </c>
      <c r="AC7" s="387">
        <v>3476</v>
      </c>
    </row>
    <row r="8" spans="1:30">
      <c r="B8" s="419"/>
      <c r="C8" s="8" t="s">
        <v>29</v>
      </c>
      <c r="D8" s="386"/>
      <c r="E8" s="143"/>
      <c r="F8" s="143"/>
      <c r="G8" s="142">
        <v>371</v>
      </c>
      <c r="H8" s="142">
        <v>360</v>
      </c>
      <c r="I8" s="142">
        <v>370</v>
      </c>
      <c r="J8" s="142">
        <v>345</v>
      </c>
      <c r="K8" s="142">
        <v>403</v>
      </c>
      <c r="L8" s="142">
        <v>385</v>
      </c>
      <c r="M8" s="142">
        <v>450</v>
      </c>
      <c r="N8" s="142">
        <v>352</v>
      </c>
      <c r="O8" s="142">
        <v>370</v>
      </c>
      <c r="P8" s="142">
        <v>355</v>
      </c>
      <c r="Q8" s="142">
        <v>350</v>
      </c>
      <c r="R8" s="142">
        <v>350</v>
      </c>
      <c r="S8" s="142">
        <v>335</v>
      </c>
      <c r="T8" s="142">
        <v>345</v>
      </c>
      <c r="U8" s="142">
        <v>345</v>
      </c>
      <c r="V8" s="142">
        <v>370</v>
      </c>
      <c r="W8" s="142">
        <v>370</v>
      </c>
      <c r="X8" s="142">
        <v>205</v>
      </c>
      <c r="Y8" s="142">
        <v>205</v>
      </c>
      <c r="Z8" s="142">
        <v>402</v>
      </c>
      <c r="AA8" s="142">
        <v>415</v>
      </c>
      <c r="AB8" s="142">
        <v>420</v>
      </c>
      <c r="AC8" s="387">
        <v>485</v>
      </c>
    </row>
    <row r="9" spans="1:30">
      <c r="B9" s="419"/>
      <c r="C9" s="8" t="s">
        <v>46</v>
      </c>
      <c r="D9" s="388"/>
      <c r="E9" s="140"/>
      <c r="F9" s="140"/>
      <c r="G9" s="140">
        <f t="shared" ref="G9:AC9" si="0">G7/G8</f>
        <v>6.2506738544474389</v>
      </c>
      <c r="H9" s="140">
        <f t="shared" si="0"/>
        <v>7.5972222222222223</v>
      </c>
      <c r="I9" s="140">
        <f t="shared" si="0"/>
        <v>6.9837837837837835</v>
      </c>
      <c r="J9" s="140">
        <f t="shared" si="0"/>
        <v>9.953623188405798</v>
      </c>
      <c r="K9" s="140">
        <f t="shared" si="0"/>
        <v>10.009925558312656</v>
      </c>
      <c r="L9" s="140">
        <f t="shared" si="0"/>
        <v>9.2935064935064933</v>
      </c>
      <c r="M9" s="140">
        <f t="shared" si="0"/>
        <v>6.6577777777777776</v>
      </c>
      <c r="N9" s="140">
        <f t="shared" si="0"/>
        <v>8.548295454545455</v>
      </c>
      <c r="O9" s="140">
        <f t="shared" si="0"/>
        <v>9.2378378378378372</v>
      </c>
      <c r="P9" s="140">
        <f t="shared" si="0"/>
        <v>9.1239436619718308</v>
      </c>
      <c r="Q9" s="140">
        <f t="shared" si="0"/>
        <v>8.8285714285714292</v>
      </c>
      <c r="R9" s="140">
        <f t="shared" si="0"/>
        <v>9.14</v>
      </c>
      <c r="S9" s="140">
        <f t="shared" si="0"/>
        <v>9.4388059701492537</v>
      </c>
      <c r="T9" s="140">
        <f t="shared" si="0"/>
        <v>8.8985507246376816</v>
      </c>
      <c r="U9" s="140">
        <f t="shared" si="0"/>
        <v>8.0521739130434788</v>
      </c>
      <c r="V9" s="140">
        <f t="shared" si="0"/>
        <v>7.3783783783783781</v>
      </c>
      <c r="W9" s="140">
        <f t="shared" si="0"/>
        <v>6.8378378378378377</v>
      </c>
      <c r="X9" s="140">
        <f t="shared" si="0"/>
        <v>10.107317073170732</v>
      </c>
      <c r="Y9" s="140">
        <f t="shared" si="0"/>
        <v>5.3853658536585369</v>
      </c>
      <c r="Z9" s="140">
        <f t="shared" si="0"/>
        <v>11.522388059701493</v>
      </c>
      <c r="AA9" s="140">
        <f t="shared" si="0"/>
        <v>9.024096385542169</v>
      </c>
      <c r="AB9" s="140">
        <f t="shared" si="0"/>
        <v>8.6023809523809529</v>
      </c>
      <c r="AC9" s="139">
        <f t="shared" si="0"/>
        <v>7.1670103092783508</v>
      </c>
    </row>
    <row r="10" spans="1:30">
      <c r="B10" s="419" t="s">
        <v>60</v>
      </c>
      <c r="C10" s="8" t="s">
        <v>31</v>
      </c>
      <c r="D10" s="384">
        <v>7178</v>
      </c>
      <c r="E10" s="147">
        <v>7236</v>
      </c>
      <c r="F10" s="147">
        <v>7714</v>
      </c>
      <c r="G10" s="146">
        <v>7433</v>
      </c>
      <c r="H10" s="146">
        <v>7713</v>
      </c>
      <c r="I10" s="146">
        <v>9279</v>
      </c>
      <c r="J10" s="146">
        <v>12189</v>
      </c>
      <c r="K10" s="146">
        <v>13095</v>
      </c>
      <c r="L10" s="146">
        <v>12824</v>
      </c>
      <c r="M10" s="146">
        <v>10334</v>
      </c>
      <c r="N10" s="146">
        <v>9025</v>
      </c>
      <c r="O10" s="146">
        <v>8824</v>
      </c>
      <c r="P10" s="146">
        <v>10285</v>
      </c>
      <c r="Q10" s="146">
        <v>8563</v>
      </c>
      <c r="R10" s="146">
        <v>10349</v>
      </c>
      <c r="S10" s="146"/>
      <c r="T10" s="146">
        <v>10600</v>
      </c>
      <c r="U10" s="146"/>
      <c r="V10" s="146">
        <v>9120</v>
      </c>
      <c r="W10" s="146"/>
      <c r="X10" s="146">
        <v>6727</v>
      </c>
      <c r="Y10" s="146"/>
      <c r="Z10" s="146">
        <v>2300</v>
      </c>
      <c r="AA10" s="146">
        <v>3517</v>
      </c>
      <c r="AB10" s="146">
        <v>5676</v>
      </c>
      <c r="AC10" s="385"/>
    </row>
    <row r="11" spans="1:30">
      <c r="B11" s="419"/>
      <c r="C11" s="8" t="s">
        <v>29</v>
      </c>
      <c r="D11" s="386">
        <v>751</v>
      </c>
      <c r="E11" s="143">
        <v>1135</v>
      </c>
      <c r="F11" s="143">
        <v>1175</v>
      </c>
      <c r="G11" s="142">
        <v>1055</v>
      </c>
      <c r="H11" s="142">
        <v>1193</v>
      </c>
      <c r="I11" s="142">
        <v>1456</v>
      </c>
      <c r="J11" s="142">
        <v>1596</v>
      </c>
      <c r="K11" s="142">
        <v>1569</v>
      </c>
      <c r="L11" s="142">
        <v>1487</v>
      </c>
      <c r="M11" s="142">
        <v>1288</v>
      </c>
      <c r="N11" s="142">
        <v>1231</v>
      </c>
      <c r="O11" s="142">
        <v>1197</v>
      </c>
      <c r="P11" s="142">
        <v>1333</v>
      </c>
      <c r="Q11" s="142">
        <v>1064</v>
      </c>
      <c r="R11" s="142">
        <v>1097</v>
      </c>
      <c r="S11" s="142"/>
      <c r="T11" s="142">
        <v>1473</v>
      </c>
      <c r="U11" s="142"/>
      <c r="V11" s="142">
        <v>1407</v>
      </c>
      <c r="W11" s="142"/>
      <c r="X11" s="142">
        <v>1316</v>
      </c>
      <c r="Y11" s="142"/>
      <c r="Z11" s="142">
        <v>514</v>
      </c>
      <c r="AA11" s="142">
        <v>881</v>
      </c>
      <c r="AB11" s="142">
        <v>1218</v>
      </c>
      <c r="AC11" s="387"/>
    </row>
    <row r="12" spans="1:30">
      <c r="B12" s="419"/>
      <c r="C12" s="8" t="s">
        <v>46</v>
      </c>
      <c r="D12" s="388">
        <f t="shared" ref="D12:R12" si="1">D10/D11</f>
        <v>9.5579227696404789</v>
      </c>
      <c r="E12" s="140">
        <f t="shared" si="1"/>
        <v>6.3753303964757713</v>
      </c>
      <c r="F12" s="140">
        <f t="shared" si="1"/>
        <v>6.5651063829787235</v>
      </c>
      <c r="G12" s="140">
        <f t="shared" si="1"/>
        <v>7.0454976303317531</v>
      </c>
      <c r="H12" s="140">
        <f t="shared" si="1"/>
        <v>6.4652137468566639</v>
      </c>
      <c r="I12" s="140">
        <f t="shared" si="1"/>
        <v>6.3729395604395602</v>
      </c>
      <c r="J12" s="140">
        <f t="shared" si="1"/>
        <v>7.6372180451127818</v>
      </c>
      <c r="K12" s="140">
        <f t="shared" si="1"/>
        <v>8.3460803059273427</v>
      </c>
      <c r="L12" s="140">
        <f t="shared" si="1"/>
        <v>8.6240753194351036</v>
      </c>
      <c r="M12" s="140">
        <f t="shared" si="1"/>
        <v>8.0232919254658377</v>
      </c>
      <c r="N12" s="140">
        <f t="shared" si="1"/>
        <v>7.331437855402112</v>
      </c>
      <c r="O12" s="140">
        <f t="shared" si="1"/>
        <v>7.3717627401837929</v>
      </c>
      <c r="P12" s="140">
        <f t="shared" si="1"/>
        <v>7.7156789197299327</v>
      </c>
      <c r="Q12" s="140">
        <f t="shared" si="1"/>
        <v>8.0479323308270683</v>
      </c>
      <c r="R12" s="140">
        <f t="shared" si="1"/>
        <v>9.433910665451231</v>
      </c>
      <c r="S12" s="140"/>
      <c r="T12" s="140">
        <f>T10/T11</f>
        <v>7.1961982348947728</v>
      </c>
      <c r="U12" s="140"/>
      <c r="V12" s="140">
        <f>V10/V11</f>
        <v>6.4818763326226012</v>
      </c>
      <c r="W12" s="140"/>
      <c r="X12" s="140">
        <f>X10/X11</f>
        <v>5.1117021276595747</v>
      </c>
      <c r="Y12" s="140"/>
      <c r="Z12" s="140">
        <f>Z10/Z11</f>
        <v>4.4747081712062258</v>
      </c>
      <c r="AA12" s="140">
        <f>AA10/AA11</f>
        <v>3.99205448354143</v>
      </c>
      <c r="AB12" s="140">
        <f>AB10/AB11</f>
        <v>4.6600985221674875</v>
      </c>
      <c r="AC12" s="389"/>
    </row>
    <row r="13" spans="1:30">
      <c r="B13" s="419" t="s">
        <v>59</v>
      </c>
      <c r="C13" s="8" t="s">
        <v>31</v>
      </c>
      <c r="D13" s="384"/>
      <c r="E13" s="147"/>
      <c r="F13" s="147"/>
      <c r="G13" s="146"/>
      <c r="H13" s="335">
        <v>545</v>
      </c>
      <c r="I13" s="335">
        <v>581</v>
      </c>
      <c r="J13" s="335">
        <v>717</v>
      </c>
      <c r="K13" s="335"/>
      <c r="L13" s="335">
        <v>630</v>
      </c>
      <c r="M13" s="335">
        <v>486</v>
      </c>
      <c r="N13" s="335">
        <v>221</v>
      </c>
      <c r="O13" s="335">
        <v>236</v>
      </c>
      <c r="P13" s="335">
        <v>265</v>
      </c>
      <c r="Q13" s="335">
        <v>295</v>
      </c>
      <c r="R13" s="335">
        <v>159</v>
      </c>
      <c r="S13" s="335">
        <v>236</v>
      </c>
      <c r="T13" s="335">
        <v>271</v>
      </c>
      <c r="U13" s="335">
        <v>328</v>
      </c>
      <c r="V13" s="335">
        <v>230</v>
      </c>
      <c r="W13" s="335">
        <v>225</v>
      </c>
      <c r="X13" s="335">
        <v>159</v>
      </c>
      <c r="Y13" s="335">
        <v>142</v>
      </c>
      <c r="Z13" s="391">
        <v>76</v>
      </c>
      <c r="AA13" s="391">
        <v>79</v>
      </c>
      <c r="AB13" s="391">
        <v>95</v>
      </c>
      <c r="AC13" s="392">
        <v>92</v>
      </c>
    </row>
    <row r="14" spans="1:30">
      <c r="B14" s="419"/>
      <c r="C14" s="8" t="s">
        <v>29</v>
      </c>
      <c r="D14" s="386"/>
      <c r="E14" s="143"/>
      <c r="F14" s="143"/>
      <c r="G14" s="142"/>
      <c r="H14" s="393">
        <v>102</v>
      </c>
      <c r="I14" s="393">
        <v>78</v>
      </c>
      <c r="J14" s="393">
        <v>62</v>
      </c>
      <c r="K14" s="393"/>
      <c r="L14" s="393">
        <v>62</v>
      </c>
      <c r="M14" s="393">
        <v>56</v>
      </c>
      <c r="N14" s="393">
        <v>41</v>
      </c>
      <c r="O14" s="393">
        <v>15</v>
      </c>
      <c r="P14" s="393">
        <v>23</v>
      </c>
      <c r="Q14" s="393">
        <v>25</v>
      </c>
      <c r="R14" s="393">
        <v>30</v>
      </c>
      <c r="S14" s="393">
        <v>38</v>
      </c>
      <c r="T14" s="393">
        <v>63</v>
      </c>
      <c r="U14" s="393">
        <v>75</v>
      </c>
      <c r="V14" s="393">
        <v>65</v>
      </c>
      <c r="W14" s="393">
        <v>107</v>
      </c>
      <c r="X14" s="393">
        <v>47</v>
      </c>
      <c r="Y14" s="393">
        <v>41</v>
      </c>
      <c r="Z14" s="54">
        <v>30</v>
      </c>
      <c r="AA14" s="54">
        <v>25</v>
      </c>
      <c r="AB14" s="54">
        <v>35</v>
      </c>
      <c r="AC14" s="60">
        <v>50</v>
      </c>
    </row>
    <row r="15" spans="1:30" ht="15" thickBot="1">
      <c r="B15" s="420"/>
      <c r="C15" s="390" t="s">
        <v>46</v>
      </c>
      <c r="D15" s="388"/>
      <c r="E15" s="140"/>
      <c r="F15" s="140"/>
      <c r="G15" s="140"/>
      <c r="H15" s="140">
        <f>H13/H14</f>
        <v>5.3431372549019605</v>
      </c>
      <c r="I15" s="140">
        <f>I13/I14</f>
        <v>7.4487179487179489</v>
      </c>
      <c r="J15" s="140">
        <f>J13/J14</f>
        <v>11.564516129032258</v>
      </c>
      <c r="K15" s="140"/>
      <c r="L15" s="140">
        <f t="shared" ref="L15:AC15" si="2">L13/L14</f>
        <v>10.161290322580646</v>
      </c>
      <c r="M15" s="140">
        <f t="shared" si="2"/>
        <v>8.6785714285714288</v>
      </c>
      <c r="N15" s="140">
        <f t="shared" si="2"/>
        <v>5.3902439024390247</v>
      </c>
      <c r="O15" s="140">
        <f t="shared" si="2"/>
        <v>15.733333333333333</v>
      </c>
      <c r="P15" s="140">
        <f t="shared" si="2"/>
        <v>11.521739130434783</v>
      </c>
      <c r="Q15" s="140">
        <f t="shared" si="2"/>
        <v>11.8</v>
      </c>
      <c r="R15" s="140">
        <f t="shared" si="2"/>
        <v>5.3</v>
      </c>
      <c r="S15" s="140">
        <f t="shared" si="2"/>
        <v>6.2105263157894735</v>
      </c>
      <c r="T15" s="140">
        <f t="shared" si="2"/>
        <v>4.3015873015873014</v>
      </c>
      <c r="U15" s="140">
        <f t="shared" si="2"/>
        <v>4.3733333333333331</v>
      </c>
      <c r="V15" s="140">
        <f t="shared" si="2"/>
        <v>3.5384615384615383</v>
      </c>
      <c r="W15" s="140">
        <f t="shared" si="2"/>
        <v>2.1028037383177569</v>
      </c>
      <c r="X15" s="140">
        <f t="shared" si="2"/>
        <v>3.3829787234042552</v>
      </c>
      <c r="Y15" s="140">
        <f t="shared" si="2"/>
        <v>3.4634146341463414</v>
      </c>
      <c r="Z15" s="140">
        <f t="shared" si="2"/>
        <v>2.5333333333333332</v>
      </c>
      <c r="AA15" s="140">
        <f t="shared" si="2"/>
        <v>3.16</v>
      </c>
      <c r="AB15" s="140">
        <f t="shared" si="2"/>
        <v>2.7142857142857144</v>
      </c>
      <c r="AC15" s="139">
        <f t="shared" si="2"/>
        <v>1.84</v>
      </c>
    </row>
    <row r="16" spans="1:30" ht="15" thickTop="1"/>
    <row r="22" spans="7:7">
      <c r="G22" s="138"/>
    </row>
  </sheetData>
  <mergeCells count="3">
    <mergeCell ref="B7:B9"/>
    <mergeCell ref="B10:B12"/>
    <mergeCell ref="B13:B1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3"/>
  <dimension ref="A1:E19"/>
  <sheetViews>
    <sheetView zoomScale="70" zoomScaleNormal="70" workbookViewId="0">
      <selection activeCell="B1" sqref="B1"/>
    </sheetView>
  </sheetViews>
  <sheetFormatPr baseColWidth="10" defaultRowHeight="14.5"/>
  <sheetData>
    <row r="1" spans="1:5">
      <c r="A1" t="s">
        <v>10</v>
      </c>
      <c r="B1" t="s">
        <v>68</v>
      </c>
    </row>
    <row r="2" spans="1:5">
      <c r="A2" t="s">
        <v>9</v>
      </c>
      <c r="B2" t="s">
        <v>67</v>
      </c>
    </row>
    <row r="3" spans="1:5">
      <c r="A3" t="s">
        <v>66</v>
      </c>
    </row>
    <row r="4" spans="1:5">
      <c r="A4" t="s">
        <v>65</v>
      </c>
      <c r="B4" t="s">
        <v>69</v>
      </c>
    </row>
    <row r="5" spans="1:5">
      <c r="A5" t="s">
        <v>64</v>
      </c>
      <c r="B5" s="52" t="s">
        <v>572</v>
      </c>
    </row>
    <row r="6" spans="1:5" ht="15" thickBot="1"/>
    <row r="7" spans="1:5" ht="44.5" thickTop="1" thickBot="1">
      <c r="C7" s="162" t="s">
        <v>63</v>
      </c>
      <c r="D7" s="161" t="s">
        <v>62</v>
      </c>
      <c r="E7" s="160" t="s">
        <v>61</v>
      </c>
    </row>
    <row r="8" spans="1:5" ht="15" thickTop="1">
      <c r="B8" s="159">
        <v>2014</v>
      </c>
      <c r="C8" s="76">
        <v>35.901793261770379</v>
      </c>
      <c r="D8" s="157">
        <v>19.815510745759809</v>
      </c>
      <c r="E8" s="156">
        <v>19.039552484728322</v>
      </c>
    </row>
    <row r="9" spans="1:5">
      <c r="B9" s="158">
        <v>2015</v>
      </c>
      <c r="C9" s="76">
        <v>33.553348118531602</v>
      </c>
      <c r="D9" s="157">
        <v>18.542524524757031</v>
      </c>
      <c r="E9" s="156">
        <v>16.092689982627014</v>
      </c>
    </row>
    <row r="10" spans="1:5">
      <c r="B10" s="158">
        <v>2016</v>
      </c>
      <c r="C10" s="76">
        <v>33.803817412611792</v>
      </c>
      <c r="D10" s="157">
        <v>15.065509881372856</v>
      </c>
      <c r="E10" s="156">
        <v>16.689059757180143</v>
      </c>
    </row>
    <row r="11" spans="1:5">
      <c r="B11" s="158">
        <v>2017</v>
      </c>
      <c r="C11" s="76">
        <v>38.781369804382457</v>
      </c>
      <c r="D11" s="157">
        <v>20.753969289269264</v>
      </c>
      <c r="E11" s="156">
        <v>21.605199926618749</v>
      </c>
    </row>
    <row r="12" spans="1:5">
      <c r="B12" s="158">
        <v>2018</v>
      </c>
      <c r="C12" s="76">
        <v>45.972155688936205</v>
      </c>
      <c r="D12" s="157">
        <v>22.995129162860565</v>
      </c>
      <c r="E12" s="156">
        <v>31.025213891260083</v>
      </c>
    </row>
    <row r="13" spans="1:5">
      <c r="B13" s="158">
        <v>2019</v>
      </c>
      <c r="C13" s="76">
        <v>51.600126751597266</v>
      </c>
      <c r="D13" s="157">
        <v>27.816154209303118</v>
      </c>
      <c r="E13" s="156">
        <v>44.885689661666213</v>
      </c>
    </row>
    <row r="14" spans="1:5">
      <c r="B14" s="158">
        <v>2020</v>
      </c>
      <c r="C14" s="76">
        <v>52.361792758886274</v>
      </c>
      <c r="D14" s="157">
        <v>32.820302466843607</v>
      </c>
      <c r="E14" s="156">
        <v>50.432097895748598</v>
      </c>
    </row>
    <row r="15" spans="1:5">
      <c r="B15" s="158">
        <v>2021</v>
      </c>
      <c r="C15" s="76">
        <v>45.541041486809895</v>
      </c>
      <c r="D15" s="157">
        <v>31.401347746383067</v>
      </c>
      <c r="E15" s="156">
        <v>57.539379224555255</v>
      </c>
    </row>
    <row r="16" spans="1:5">
      <c r="B16" s="158">
        <v>2022</v>
      </c>
      <c r="C16" s="76">
        <v>58.873269771998586</v>
      </c>
      <c r="D16" s="157">
        <v>41.96815138378053</v>
      </c>
      <c r="E16" s="156">
        <v>64.525389690221701</v>
      </c>
    </row>
    <row r="17" spans="2:5">
      <c r="B17" s="158">
        <v>2023</v>
      </c>
      <c r="C17" s="76">
        <v>61.79100918557068</v>
      </c>
      <c r="D17" s="157">
        <v>46.121204436804376</v>
      </c>
      <c r="E17" s="156">
        <v>67.361117400342252</v>
      </c>
    </row>
    <row r="18" spans="2:5" ht="15" thickBot="1">
      <c r="B18" s="155">
        <v>2024</v>
      </c>
      <c r="C18" s="73">
        <v>58.057093286543193</v>
      </c>
      <c r="D18" s="154">
        <v>46.313319907473506</v>
      </c>
      <c r="E18" s="153">
        <v>59.350306869600345</v>
      </c>
    </row>
    <row r="19" spans="2:5" ht="15" thickTop="1"/>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4"/>
  <dimension ref="A1:W188"/>
  <sheetViews>
    <sheetView zoomScale="70" zoomScaleNormal="70" workbookViewId="0">
      <selection activeCell="B1" sqref="B1"/>
    </sheetView>
  </sheetViews>
  <sheetFormatPr baseColWidth="10" defaultRowHeight="14.5"/>
  <cols>
    <col min="1" max="1" width="11" style="163"/>
    <col min="2" max="2" width="59" style="163" customWidth="1"/>
    <col min="3" max="5" width="14.08984375" style="163" customWidth="1"/>
    <col min="6" max="8" width="14.08984375" style="165" customWidth="1"/>
    <col min="9" max="9" width="14.08984375" style="163" customWidth="1"/>
    <col min="10" max="10" width="14.08984375" style="164" customWidth="1"/>
    <col min="12" max="21" width="11" style="163"/>
    <col min="22" max="23" width="11" style="163" customWidth="1"/>
  </cols>
  <sheetData>
    <row r="1" spans="1:23">
      <c r="A1" t="s">
        <v>10</v>
      </c>
      <c r="B1" t="s">
        <v>574</v>
      </c>
      <c r="C1"/>
      <c r="D1"/>
      <c r="E1"/>
      <c r="F1"/>
      <c r="G1"/>
      <c r="H1"/>
      <c r="I1"/>
      <c r="J1"/>
      <c r="L1"/>
      <c r="M1"/>
      <c r="N1"/>
      <c r="O1"/>
      <c r="P1"/>
      <c r="Q1"/>
      <c r="R1"/>
      <c r="S1"/>
      <c r="T1"/>
      <c r="U1"/>
      <c r="V1"/>
      <c r="W1"/>
    </row>
    <row r="2" spans="1:23">
      <c r="A2" t="s">
        <v>9</v>
      </c>
      <c r="B2" t="s">
        <v>573</v>
      </c>
      <c r="C2"/>
      <c r="D2"/>
      <c r="E2"/>
      <c r="F2"/>
      <c r="G2"/>
      <c r="H2"/>
      <c r="I2"/>
      <c r="J2"/>
      <c r="L2"/>
      <c r="M2"/>
      <c r="N2"/>
      <c r="O2"/>
      <c r="P2"/>
      <c r="Q2"/>
      <c r="R2"/>
      <c r="S2"/>
      <c r="T2"/>
      <c r="U2"/>
      <c r="V2"/>
      <c r="W2"/>
    </row>
    <row r="3" spans="1:23">
      <c r="A3" t="s">
        <v>66</v>
      </c>
      <c r="B3"/>
      <c r="C3"/>
      <c r="D3"/>
      <c r="E3"/>
      <c r="F3"/>
      <c r="G3"/>
      <c r="H3"/>
      <c r="I3"/>
      <c r="J3"/>
      <c r="L3"/>
      <c r="M3"/>
      <c r="N3"/>
      <c r="O3"/>
      <c r="P3"/>
      <c r="Q3"/>
      <c r="R3"/>
      <c r="S3"/>
      <c r="T3"/>
      <c r="U3"/>
      <c r="V3"/>
      <c r="W3"/>
    </row>
    <row r="4" spans="1:23">
      <c r="A4" t="s">
        <v>65</v>
      </c>
      <c r="B4" s="52" t="s">
        <v>438</v>
      </c>
      <c r="C4"/>
      <c r="D4"/>
      <c r="E4"/>
      <c r="F4"/>
      <c r="G4"/>
      <c r="H4"/>
      <c r="I4"/>
      <c r="J4"/>
      <c r="L4"/>
      <c r="M4"/>
      <c r="N4"/>
      <c r="O4"/>
      <c r="P4"/>
      <c r="Q4"/>
      <c r="R4"/>
      <c r="S4"/>
      <c r="T4"/>
      <c r="U4"/>
      <c r="V4"/>
      <c r="W4"/>
    </row>
    <row r="5" spans="1:23">
      <c r="A5"/>
    </row>
    <row r="6" spans="1:23" ht="15" thickBot="1"/>
    <row r="7" spans="1:23" ht="15.5" thickTop="1" thickBot="1">
      <c r="B7" s="193" t="s">
        <v>437</v>
      </c>
      <c r="C7" s="191" t="s">
        <v>436</v>
      </c>
      <c r="D7" s="191" t="s">
        <v>435</v>
      </c>
      <c r="E7" s="191" t="s">
        <v>434</v>
      </c>
      <c r="F7" s="192" t="s">
        <v>433</v>
      </c>
      <c r="G7" s="192" t="s">
        <v>432</v>
      </c>
      <c r="H7" s="192" t="s">
        <v>431</v>
      </c>
      <c r="I7" s="191" t="s">
        <v>430</v>
      </c>
      <c r="J7" s="190" t="s">
        <v>429</v>
      </c>
    </row>
    <row r="8" spans="1:23" ht="15" thickTop="1">
      <c r="B8" s="188" t="s">
        <v>428</v>
      </c>
      <c r="C8" s="186" t="s">
        <v>427</v>
      </c>
      <c r="D8" s="189" t="s">
        <v>70</v>
      </c>
      <c r="E8" s="188">
        <v>3673</v>
      </c>
      <c r="F8" s="187">
        <v>27853.565716000001</v>
      </c>
      <c r="G8" s="187">
        <v>13963.88</v>
      </c>
      <c r="H8" s="187">
        <v>50.133000000000003</v>
      </c>
      <c r="I8" s="186">
        <f>VLOOKUP(C8,'[1]secteur privé'!$A$2:$I$218,6,0)</f>
        <v>54.301000000000002</v>
      </c>
      <c r="J8" s="185">
        <f t="shared" ref="J8:J33" si="0">H8-I8</f>
        <v>-4.1679999999999993</v>
      </c>
    </row>
    <row r="9" spans="1:23">
      <c r="B9" s="176" t="s">
        <v>426</v>
      </c>
      <c r="C9" s="174" t="s">
        <v>425</v>
      </c>
      <c r="D9" s="177" t="s">
        <v>70</v>
      </c>
      <c r="E9" s="176">
        <v>2051</v>
      </c>
      <c r="F9" s="175">
        <v>13018.357226</v>
      </c>
      <c r="G9" s="175">
        <v>4393.46</v>
      </c>
      <c r="H9" s="175">
        <v>33.747999999999998</v>
      </c>
      <c r="I9" s="174">
        <f>VLOOKUP(C9,'[1]secteur privé'!$A$2:$I$218,6,0)</f>
        <v>57.000999999999998</v>
      </c>
      <c r="J9" s="173">
        <f t="shared" si="0"/>
        <v>-23.253</v>
      </c>
    </row>
    <row r="10" spans="1:23">
      <c r="B10" s="176" t="s">
        <v>424</v>
      </c>
      <c r="C10" s="174" t="s">
        <v>423</v>
      </c>
      <c r="D10" s="177" t="s">
        <v>70</v>
      </c>
      <c r="E10" s="176">
        <v>1300</v>
      </c>
      <c r="F10" s="175">
        <v>8085.0977129000003</v>
      </c>
      <c r="G10" s="175">
        <v>2100.1799999999998</v>
      </c>
      <c r="H10" s="175">
        <v>25.975999999999999</v>
      </c>
      <c r="I10" s="174">
        <f>VLOOKUP(C10,'[1]secteur privé'!$A$2:$I$218,6,0)</f>
        <v>57.793999999999997</v>
      </c>
      <c r="J10" s="173">
        <f t="shared" si="0"/>
        <v>-31.817999999999998</v>
      </c>
    </row>
    <row r="11" spans="1:23">
      <c r="B11" s="176" t="s">
        <v>422</v>
      </c>
      <c r="C11" s="174" t="s">
        <v>421</v>
      </c>
      <c r="D11" s="177" t="s">
        <v>70</v>
      </c>
      <c r="E11" s="176">
        <v>1128</v>
      </c>
      <c r="F11" s="175">
        <v>7408.6917819</v>
      </c>
      <c r="G11" s="175">
        <v>3990.09</v>
      </c>
      <c r="H11" s="175">
        <v>53.856999999999999</v>
      </c>
      <c r="I11" s="174">
        <f>VLOOKUP(C11,'[1]secteur privé'!$A$2:$I$218,6,0)</f>
        <v>67.108000000000004</v>
      </c>
      <c r="J11" s="173">
        <f t="shared" si="0"/>
        <v>-13.251000000000005</v>
      </c>
    </row>
    <row r="12" spans="1:23">
      <c r="B12" s="176" t="s">
        <v>420</v>
      </c>
      <c r="C12" s="174" t="s">
        <v>419</v>
      </c>
      <c r="D12" s="177" t="s">
        <v>70</v>
      </c>
      <c r="E12" s="176">
        <v>547</v>
      </c>
      <c r="F12" s="175">
        <v>6408.9120731000003</v>
      </c>
      <c r="G12" s="175">
        <v>2980.96</v>
      </c>
      <c r="H12" s="175">
        <v>46.512999999999998</v>
      </c>
      <c r="I12" s="174">
        <f>VLOOKUP(C12,'[1]secteur privé'!$A$2:$I$218,6,0)</f>
        <v>42.366999999999997</v>
      </c>
      <c r="J12" s="173">
        <f t="shared" si="0"/>
        <v>4.1460000000000008</v>
      </c>
    </row>
    <row r="13" spans="1:23">
      <c r="B13" s="176" t="s">
        <v>418</v>
      </c>
      <c r="C13" s="174" t="s">
        <v>417</v>
      </c>
      <c r="D13" s="177" t="s">
        <v>70</v>
      </c>
      <c r="E13" s="176">
        <v>370</v>
      </c>
      <c r="F13" s="175">
        <v>5076.1823899999999</v>
      </c>
      <c r="G13" s="175">
        <v>3824.45</v>
      </c>
      <c r="H13" s="175">
        <v>75.340999999999994</v>
      </c>
      <c r="I13" s="174">
        <f>VLOOKUP(C13,'[1]secteur privé'!$A$2:$I$218,6,0)</f>
        <v>84.474000000000004</v>
      </c>
      <c r="J13" s="173">
        <f t="shared" si="0"/>
        <v>-9.1330000000000098</v>
      </c>
    </row>
    <row r="14" spans="1:23">
      <c r="B14" s="176" t="s">
        <v>416</v>
      </c>
      <c r="C14" s="174" t="s">
        <v>415</v>
      </c>
      <c r="D14" s="177" t="s">
        <v>70</v>
      </c>
      <c r="E14" s="176">
        <v>616</v>
      </c>
      <c r="F14" s="175">
        <v>4851.2517240999996</v>
      </c>
      <c r="G14" s="175">
        <v>2644.66</v>
      </c>
      <c r="H14" s="175">
        <v>54.515000000000001</v>
      </c>
      <c r="I14" s="174">
        <f>VLOOKUP(C14,'[1]secteur privé'!$A$2:$I$218,6,0)</f>
        <v>55.405000000000001</v>
      </c>
      <c r="J14" s="173">
        <f t="shared" si="0"/>
        <v>-0.89000000000000057</v>
      </c>
    </row>
    <row r="15" spans="1:23">
      <c r="B15" s="176" t="s">
        <v>414</v>
      </c>
      <c r="C15" s="174" t="s">
        <v>413</v>
      </c>
      <c r="D15" s="177" t="s">
        <v>70</v>
      </c>
      <c r="E15" s="176">
        <v>818</v>
      </c>
      <c r="F15" s="175">
        <v>4710.0801578999999</v>
      </c>
      <c r="G15" s="175">
        <v>1837.17</v>
      </c>
      <c r="H15" s="175">
        <v>39.005000000000003</v>
      </c>
      <c r="I15" s="174">
        <f>VLOOKUP(C15,'[1]secteur privé'!$A$2:$I$218,6,0)</f>
        <v>39.774999999999999</v>
      </c>
      <c r="J15" s="173">
        <f t="shared" si="0"/>
        <v>-0.76999999999999602</v>
      </c>
    </row>
    <row r="16" spans="1:23">
      <c r="B16" s="176" t="s">
        <v>412</v>
      </c>
      <c r="C16" s="174" t="s">
        <v>411</v>
      </c>
      <c r="D16" s="177" t="s">
        <v>70</v>
      </c>
      <c r="E16" s="176">
        <v>392</v>
      </c>
      <c r="F16" s="175">
        <v>3893.8258092000001</v>
      </c>
      <c r="G16" s="175">
        <v>2907.64</v>
      </c>
      <c r="H16" s="175">
        <v>74.673000000000002</v>
      </c>
      <c r="I16" s="174">
        <f>VLOOKUP(C16,'[1]secteur privé'!$A$2:$I$218,6,0)</f>
        <v>70.691999999999993</v>
      </c>
      <c r="J16" s="173">
        <f t="shared" si="0"/>
        <v>3.9810000000000088</v>
      </c>
    </row>
    <row r="17" spans="1:23">
      <c r="B17" s="176" t="s">
        <v>410</v>
      </c>
      <c r="C17" s="174" t="s">
        <v>409</v>
      </c>
      <c r="D17" s="177" t="s">
        <v>70</v>
      </c>
      <c r="E17" s="176">
        <v>362</v>
      </c>
      <c r="F17" s="175">
        <v>2883.3864665999999</v>
      </c>
      <c r="G17" s="175">
        <v>1061.54</v>
      </c>
      <c r="H17" s="175">
        <v>36.816000000000003</v>
      </c>
      <c r="I17" s="174">
        <f>VLOOKUP(C17,'[1]secteur privé'!$A$2:$I$218,6,0)</f>
        <v>56.953000000000003</v>
      </c>
      <c r="J17" s="173">
        <f t="shared" si="0"/>
        <v>-20.137</v>
      </c>
    </row>
    <row r="18" spans="1:23">
      <c r="B18" s="176" t="s">
        <v>408</v>
      </c>
      <c r="C18" s="174" t="s">
        <v>407</v>
      </c>
      <c r="D18" s="177" t="s">
        <v>70</v>
      </c>
      <c r="E18" s="176">
        <v>328</v>
      </c>
      <c r="F18" s="175">
        <v>2834.6850610000001</v>
      </c>
      <c r="G18" s="175">
        <v>1425.5</v>
      </c>
      <c r="H18" s="175">
        <v>50.287999999999997</v>
      </c>
      <c r="I18" s="174">
        <f>VLOOKUP(C18,'[1]secteur privé'!$A$2:$I$218,6,0)</f>
        <v>47.506999999999998</v>
      </c>
      <c r="J18" s="173">
        <f t="shared" si="0"/>
        <v>2.7809999999999988</v>
      </c>
    </row>
    <row r="19" spans="1:23">
      <c r="A19" s="178"/>
      <c r="B19" s="183" t="s">
        <v>406</v>
      </c>
      <c r="C19" s="181" t="s">
        <v>405</v>
      </c>
      <c r="D19" s="184" t="s">
        <v>70</v>
      </c>
      <c r="E19" s="183">
        <v>590</v>
      </c>
      <c r="F19" s="182">
        <v>2735.9136238999999</v>
      </c>
      <c r="G19" s="182">
        <v>893.73</v>
      </c>
      <c r="H19" s="182">
        <v>32.667000000000002</v>
      </c>
      <c r="I19" s="181">
        <f>VLOOKUP(C19,'[1]secteur privé'!$A$2:$I$218,6,0)</f>
        <v>64.078000000000003</v>
      </c>
      <c r="J19" s="180">
        <f t="shared" si="0"/>
        <v>-31.411000000000001</v>
      </c>
      <c r="K19" s="178"/>
      <c r="L19" s="178"/>
      <c r="M19" s="178"/>
      <c r="N19" s="178"/>
      <c r="O19" s="178"/>
      <c r="P19" s="178"/>
      <c r="Q19" s="178"/>
      <c r="R19" s="178"/>
      <c r="S19" s="178"/>
      <c r="T19" s="178"/>
      <c r="U19" s="178"/>
      <c r="V19" s="178"/>
      <c r="W19" s="178"/>
    </row>
    <row r="20" spans="1:23">
      <c r="A20" s="178"/>
      <c r="B20" s="183" t="s">
        <v>404</v>
      </c>
      <c r="C20" s="181" t="s">
        <v>403</v>
      </c>
      <c r="D20" s="184" t="s">
        <v>70</v>
      </c>
      <c r="E20" s="183">
        <v>427</v>
      </c>
      <c r="F20" s="182">
        <v>2402.4892866</v>
      </c>
      <c r="G20" s="182">
        <v>1303.57</v>
      </c>
      <c r="H20" s="182">
        <v>54.259</v>
      </c>
      <c r="I20" s="181">
        <f>VLOOKUP(C20,'[1]secteur privé'!$A$2:$I$218,6,0)</f>
        <v>53.627000000000002</v>
      </c>
      <c r="J20" s="180">
        <f t="shared" si="0"/>
        <v>0.6319999999999979</v>
      </c>
      <c r="K20" s="179"/>
      <c r="L20" s="178"/>
      <c r="M20" s="178"/>
      <c r="N20" s="178"/>
      <c r="O20" s="178"/>
      <c r="P20" s="178"/>
      <c r="Q20" s="178"/>
      <c r="R20" s="178"/>
      <c r="S20" s="178"/>
      <c r="T20" s="178"/>
      <c r="U20" s="178"/>
      <c r="V20" s="178"/>
      <c r="W20" s="178"/>
    </row>
    <row r="21" spans="1:23">
      <c r="A21" s="178"/>
      <c r="B21" s="183" t="s">
        <v>402</v>
      </c>
      <c r="C21" s="181" t="s">
        <v>401</v>
      </c>
      <c r="D21" s="184" t="s">
        <v>70</v>
      </c>
      <c r="E21" s="183">
        <v>461</v>
      </c>
      <c r="F21" s="182">
        <v>2378.4454744</v>
      </c>
      <c r="G21" s="182">
        <v>538.67999999999995</v>
      </c>
      <c r="H21" s="182">
        <v>22.649000000000001</v>
      </c>
      <c r="I21" s="181">
        <f>VLOOKUP(C21,'[1]secteur privé'!$A$2:$I$218,6,0)</f>
        <v>45.875999999999998</v>
      </c>
      <c r="J21" s="180">
        <f t="shared" si="0"/>
        <v>-23.226999999999997</v>
      </c>
      <c r="K21" s="179"/>
      <c r="L21" s="178"/>
      <c r="M21" s="178"/>
      <c r="N21" s="178"/>
      <c r="O21" s="178"/>
      <c r="P21" s="178"/>
      <c r="Q21" s="178"/>
      <c r="R21" s="178"/>
      <c r="S21" s="178"/>
      <c r="T21" s="178"/>
      <c r="U21" s="178"/>
      <c r="V21" s="178"/>
      <c r="W21" s="178"/>
    </row>
    <row r="22" spans="1:23">
      <c r="A22" s="178"/>
      <c r="B22" s="183" t="s">
        <v>400</v>
      </c>
      <c r="C22" s="181" t="s">
        <v>399</v>
      </c>
      <c r="D22" s="184" t="s">
        <v>70</v>
      </c>
      <c r="E22" s="183">
        <v>397</v>
      </c>
      <c r="F22" s="182">
        <v>2351.8997856000001</v>
      </c>
      <c r="G22" s="182">
        <v>1377.59</v>
      </c>
      <c r="H22" s="182">
        <v>58.573</v>
      </c>
      <c r="I22" s="181">
        <f>VLOOKUP(C22,'[1]secteur privé'!$A$2:$I$218,6,0)</f>
        <v>68.427999999999997</v>
      </c>
      <c r="J22" s="180">
        <f t="shared" si="0"/>
        <v>-9.8549999999999969</v>
      </c>
      <c r="K22" s="179"/>
      <c r="L22" s="178"/>
      <c r="M22" s="178"/>
      <c r="N22" s="178"/>
      <c r="O22" s="178"/>
      <c r="P22" s="178"/>
      <c r="Q22" s="178"/>
      <c r="R22" s="178"/>
      <c r="S22" s="178"/>
      <c r="T22" s="178"/>
      <c r="U22" s="178"/>
      <c r="V22" s="178"/>
      <c r="W22" s="178"/>
    </row>
    <row r="23" spans="1:23">
      <c r="A23" s="178"/>
      <c r="B23" s="183" t="s">
        <v>398</v>
      </c>
      <c r="C23" s="181" t="s">
        <v>397</v>
      </c>
      <c r="D23" s="184" t="s">
        <v>70</v>
      </c>
      <c r="E23" s="183">
        <v>320</v>
      </c>
      <c r="F23" s="182">
        <v>2108.9677193000002</v>
      </c>
      <c r="G23" s="182">
        <v>1028.3900000000001</v>
      </c>
      <c r="H23" s="182">
        <v>48.762999999999998</v>
      </c>
      <c r="I23" s="181">
        <f>VLOOKUP(C23,'[1]secteur privé'!$A$2:$I$218,6,0)</f>
        <v>64.724000000000004</v>
      </c>
      <c r="J23" s="180">
        <f t="shared" si="0"/>
        <v>-15.961000000000006</v>
      </c>
      <c r="K23" s="179"/>
      <c r="L23" s="178"/>
      <c r="M23" s="178"/>
      <c r="N23" s="178"/>
      <c r="O23" s="178"/>
      <c r="P23" s="178"/>
      <c r="Q23" s="178"/>
      <c r="R23" s="178"/>
      <c r="S23" s="178"/>
      <c r="T23" s="178"/>
      <c r="U23" s="178"/>
      <c r="V23" s="178"/>
      <c r="W23" s="178"/>
    </row>
    <row r="24" spans="1:23">
      <c r="A24" s="178"/>
      <c r="B24" s="183" t="s">
        <v>396</v>
      </c>
      <c r="C24" s="181" t="s">
        <v>395</v>
      </c>
      <c r="D24" s="184" t="s">
        <v>70</v>
      </c>
      <c r="E24" s="183">
        <v>442</v>
      </c>
      <c r="F24" s="182">
        <v>2088.4271742999999</v>
      </c>
      <c r="G24" s="182">
        <v>941.89</v>
      </c>
      <c r="H24" s="182">
        <v>45.1</v>
      </c>
      <c r="I24" s="181">
        <f>VLOOKUP(C24,'[1]secteur privé'!$A$2:$I$218,6,0)</f>
        <v>37.261000000000003</v>
      </c>
      <c r="J24" s="180">
        <f t="shared" si="0"/>
        <v>7.8389999999999986</v>
      </c>
      <c r="K24" s="179"/>
      <c r="L24" s="178"/>
      <c r="M24" s="178"/>
      <c r="N24" s="178"/>
      <c r="O24" s="178"/>
      <c r="P24" s="178"/>
      <c r="Q24" s="178"/>
      <c r="R24" s="178"/>
      <c r="S24" s="178"/>
      <c r="T24" s="178"/>
      <c r="U24" s="178"/>
      <c r="V24" s="178"/>
      <c r="W24" s="178"/>
    </row>
    <row r="25" spans="1:23">
      <c r="B25" s="176" t="s">
        <v>394</v>
      </c>
      <c r="C25" s="174" t="s">
        <v>393</v>
      </c>
      <c r="D25" s="177" t="s">
        <v>70</v>
      </c>
      <c r="E25" s="176">
        <v>304</v>
      </c>
      <c r="F25" s="175">
        <v>1652.3029034000001</v>
      </c>
      <c r="G25" s="175">
        <v>1222.18</v>
      </c>
      <c r="H25" s="175">
        <v>73.968000000000004</v>
      </c>
      <c r="I25" s="174">
        <f>VLOOKUP(C25,'[1]secteur privé'!$A$2:$I$218,6,0)</f>
        <v>73.828999999999994</v>
      </c>
      <c r="J25" s="173">
        <f t="shared" si="0"/>
        <v>0.13900000000001</v>
      </c>
    </row>
    <row r="26" spans="1:23">
      <c r="B26" s="176" t="s">
        <v>392</v>
      </c>
      <c r="C26" s="174" t="s">
        <v>391</v>
      </c>
      <c r="D26" s="177" t="s">
        <v>70</v>
      </c>
      <c r="E26" s="176">
        <v>163</v>
      </c>
      <c r="F26" s="175">
        <v>1443.2951681</v>
      </c>
      <c r="G26" s="175">
        <v>777</v>
      </c>
      <c r="H26" s="175">
        <v>53.835000000000001</v>
      </c>
      <c r="I26" s="174">
        <f>VLOOKUP(C26,'[1]secteur privé'!$A$2:$I$218,6,0)</f>
        <v>47.273000000000003</v>
      </c>
      <c r="J26" s="173">
        <f t="shared" si="0"/>
        <v>6.5619999999999976</v>
      </c>
    </row>
    <row r="27" spans="1:23">
      <c r="B27" s="176" t="s">
        <v>390</v>
      </c>
      <c r="C27" s="174" t="s">
        <v>389</v>
      </c>
      <c r="D27" s="177" t="s">
        <v>70</v>
      </c>
      <c r="E27" s="176">
        <v>195</v>
      </c>
      <c r="F27" s="175">
        <v>1381.0113338000001</v>
      </c>
      <c r="G27" s="175">
        <v>405.81</v>
      </c>
      <c r="H27" s="175">
        <v>29.385000000000002</v>
      </c>
      <c r="I27" s="174">
        <f>VLOOKUP(C27,'[1]secteur privé'!$A$2:$I$218,6,0)</f>
        <v>52.627000000000002</v>
      </c>
      <c r="J27" s="173">
        <f t="shared" si="0"/>
        <v>-23.242000000000001</v>
      </c>
    </row>
    <row r="28" spans="1:23">
      <c r="B28" s="176" t="s">
        <v>388</v>
      </c>
      <c r="C28" s="174" t="s">
        <v>387</v>
      </c>
      <c r="D28" s="177" t="s">
        <v>70</v>
      </c>
      <c r="E28" s="176">
        <v>199</v>
      </c>
      <c r="F28" s="175">
        <v>1130.2262940000001</v>
      </c>
      <c r="G28" s="175">
        <v>590.85</v>
      </c>
      <c r="H28" s="175">
        <v>52.277000000000001</v>
      </c>
      <c r="I28" s="174">
        <f>VLOOKUP(C28,'[1]secteur privé'!$A$2:$I$218,6,0)</f>
        <v>68.251000000000005</v>
      </c>
      <c r="J28" s="173">
        <f t="shared" si="0"/>
        <v>-15.974000000000004</v>
      </c>
    </row>
    <row r="29" spans="1:23">
      <c r="B29" s="176" t="s">
        <v>386</v>
      </c>
      <c r="C29" s="174" t="s">
        <v>385</v>
      </c>
      <c r="D29" s="177" t="s">
        <v>70</v>
      </c>
      <c r="E29" s="176">
        <v>195</v>
      </c>
      <c r="F29" s="175">
        <v>1125.1406864999999</v>
      </c>
      <c r="G29" s="175">
        <v>420.96</v>
      </c>
      <c r="H29" s="175">
        <v>37.414000000000001</v>
      </c>
      <c r="I29" s="174">
        <f>VLOOKUP(C29,'[1]secteur privé'!$A$2:$I$218,6,0)</f>
        <v>73.572000000000003</v>
      </c>
      <c r="J29" s="173">
        <f t="shared" si="0"/>
        <v>-36.158000000000001</v>
      </c>
    </row>
    <row r="30" spans="1:23">
      <c r="B30" s="176" t="s">
        <v>384</v>
      </c>
      <c r="C30" s="174" t="s">
        <v>383</v>
      </c>
      <c r="D30" s="177" t="s">
        <v>70</v>
      </c>
      <c r="E30" s="176">
        <v>170</v>
      </c>
      <c r="F30" s="175">
        <v>1052.8900524999999</v>
      </c>
      <c r="G30" s="175">
        <v>523.1</v>
      </c>
      <c r="H30" s="175">
        <v>49.682000000000002</v>
      </c>
      <c r="I30" s="174">
        <f>VLOOKUP(C30,'[1]secteur privé'!$A$2:$I$218,6,0)</f>
        <v>72.180999999999997</v>
      </c>
      <c r="J30" s="173">
        <f t="shared" si="0"/>
        <v>-22.498999999999995</v>
      </c>
    </row>
    <row r="31" spans="1:23">
      <c r="B31" s="176" t="s">
        <v>382</v>
      </c>
      <c r="C31" s="174" t="s">
        <v>381</v>
      </c>
      <c r="D31" s="177" t="s">
        <v>70</v>
      </c>
      <c r="E31" s="176">
        <v>173</v>
      </c>
      <c r="F31" s="175">
        <v>682.15006430000005</v>
      </c>
      <c r="G31" s="175">
        <v>371.07</v>
      </c>
      <c r="H31" s="175">
        <v>54.396999999999998</v>
      </c>
      <c r="I31" s="174">
        <f>VLOOKUP(C31,'[1]secteur privé'!$A$2:$I$218,6,0)</f>
        <v>61.481000000000002</v>
      </c>
      <c r="J31" s="173">
        <f t="shared" si="0"/>
        <v>-7.0840000000000032</v>
      </c>
    </row>
    <row r="32" spans="1:23">
      <c r="B32" s="176" t="s">
        <v>380</v>
      </c>
      <c r="C32" s="174" t="s">
        <v>379</v>
      </c>
      <c r="D32" s="177" t="s">
        <v>70</v>
      </c>
      <c r="E32" s="176">
        <v>141</v>
      </c>
      <c r="F32" s="175">
        <v>641.47141286999999</v>
      </c>
      <c r="G32" s="175">
        <v>197.3</v>
      </c>
      <c r="H32" s="175">
        <v>30.757999999999999</v>
      </c>
      <c r="I32" s="174">
        <f>VLOOKUP(C32,'[1]secteur privé'!$A$2:$I$218,6,0)</f>
        <v>39.936999999999998</v>
      </c>
      <c r="J32" s="173">
        <f t="shared" si="0"/>
        <v>-9.1789999999999985</v>
      </c>
    </row>
    <row r="33" spans="1:23">
      <c r="B33" s="176" t="s">
        <v>378</v>
      </c>
      <c r="C33" s="174" t="s">
        <v>377</v>
      </c>
      <c r="D33" s="177" t="s">
        <v>70</v>
      </c>
      <c r="E33" s="176">
        <v>148</v>
      </c>
      <c r="F33" s="175">
        <v>544.83101481999995</v>
      </c>
      <c r="G33" s="175">
        <v>429.2</v>
      </c>
      <c r="H33" s="175">
        <v>78.775999999999996</v>
      </c>
      <c r="I33" s="174">
        <f>VLOOKUP(C33,'[1]secteur privé'!$A$2:$I$218,6,0)</f>
        <v>82.694999999999993</v>
      </c>
      <c r="J33" s="173">
        <f t="shared" si="0"/>
        <v>-3.9189999999999969</v>
      </c>
    </row>
    <row r="34" spans="1:23">
      <c r="B34" s="176"/>
      <c r="C34" s="174"/>
      <c r="D34" s="177"/>
      <c r="E34" s="176"/>
      <c r="F34" s="175"/>
      <c r="G34" s="175"/>
      <c r="H34" s="175"/>
      <c r="I34" s="174"/>
      <c r="J34" s="173"/>
    </row>
    <row r="35" spans="1:23">
      <c r="A35" s="178"/>
      <c r="B35" s="183" t="s">
        <v>376</v>
      </c>
      <c r="C35" s="181" t="s">
        <v>375</v>
      </c>
      <c r="D35" s="184" t="s">
        <v>70</v>
      </c>
      <c r="E35" s="183">
        <v>82</v>
      </c>
      <c r="F35" s="182">
        <v>495.52652112999999</v>
      </c>
      <c r="G35" s="182">
        <v>157.51</v>
      </c>
      <c r="H35" s="182">
        <v>31.786000000000001</v>
      </c>
      <c r="I35" s="181">
        <f>VLOOKUP(C35,'[1]secteur privé'!$A$2:$I$218,6,0)</f>
        <v>72.483000000000004</v>
      </c>
      <c r="J35" s="180">
        <f t="shared" ref="J35:J66" si="1">H35-I35</f>
        <v>-40.697000000000003</v>
      </c>
      <c r="K35" s="179"/>
      <c r="L35" s="178"/>
      <c r="M35" s="178"/>
      <c r="N35" s="178"/>
      <c r="O35" s="178"/>
      <c r="P35" s="178"/>
      <c r="Q35" s="178"/>
      <c r="R35" s="178"/>
      <c r="S35" s="178"/>
      <c r="T35" s="178"/>
      <c r="U35" s="178"/>
      <c r="V35" s="178"/>
      <c r="W35" s="178"/>
    </row>
    <row r="36" spans="1:23">
      <c r="B36" s="176" t="s">
        <v>374</v>
      </c>
      <c r="C36" s="174" t="s">
        <v>373</v>
      </c>
      <c r="D36" s="177" t="s">
        <v>70</v>
      </c>
      <c r="E36" s="176">
        <v>107</v>
      </c>
      <c r="F36" s="175">
        <v>491.20144938999999</v>
      </c>
      <c r="G36" s="175">
        <v>105.57</v>
      </c>
      <c r="H36" s="175">
        <v>21.492000000000001</v>
      </c>
      <c r="I36" s="174">
        <f>VLOOKUP(C36,'[1]secteur privé'!$A$2:$I$218,6,0)</f>
        <v>40.597999999999999</v>
      </c>
      <c r="J36" s="173">
        <f t="shared" si="1"/>
        <v>-19.105999999999998</v>
      </c>
    </row>
    <row r="37" spans="1:23">
      <c r="B37" s="176" t="s">
        <v>372</v>
      </c>
      <c r="C37" s="174" t="s">
        <v>371</v>
      </c>
      <c r="D37" s="177" t="s">
        <v>70</v>
      </c>
      <c r="E37" s="176">
        <v>85</v>
      </c>
      <c r="F37" s="175">
        <v>458.10205260999999</v>
      </c>
      <c r="G37" s="175">
        <v>204.59</v>
      </c>
      <c r="H37" s="175">
        <v>44.661000000000001</v>
      </c>
      <c r="I37" s="174">
        <f>VLOOKUP(C37,'[1]secteur privé'!$A$2:$I$218,6,0)</f>
        <v>62.314999999999998</v>
      </c>
      <c r="J37" s="173">
        <f t="shared" si="1"/>
        <v>-17.653999999999996</v>
      </c>
    </row>
    <row r="38" spans="1:23">
      <c r="B38" s="176" t="s">
        <v>370</v>
      </c>
      <c r="C38" s="174" t="s">
        <v>369</v>
      </c>
      <c r="D38" s="177" t="s">
        <v>70</v>
      </c>
      <c r="E38" s="176">
        <v>100</v>
      </c>
      <c r="F38" s="175">
        <v>387.14170210999998</v>
      </c>
      <c r="G38" s="175">
        <v>106.02</v>
      </c>
      <c r="H38" s="175">
        <v>27.385000000000002</v>
      </c>
      <c r="I38" s="174">
        <f>VLOOKUP(C38,'[1]secteur privé'!$A$2:$I$218,6,0)</f>
        <v>49.292000000000002</v>
      </c>
      <c r="J38" s="173">
        <f t="shared" si="1"/>
        <v>-21.907</v>
      </c>
    </row>
    <row r="39" spans="1:23">
      <c r="B39" s="176" t="s">
        <v>368</v>
      </c>
      <c r="C39" s="174" t="s">
        <v>367</v>
      </c>
      <c r="D39" s="177" t="s">
        <v>70</v>
      </c>
      <c r="E39" s="176">
        <v>94</v>
      </c>
      <c r="F39" s="175">
        <v>353.02326178999999</v>
      </c>
      <c r="G39" s="175">
        <v>156.16</v>
      </c>
      <c r="H39" s="175">
        <v>44.234000000000002</v>
      </c>
      <c r="I39" s="174">
        <f>VLOOKUP(C39,'[1]secteur privé'!$A$2:$I$218,6,0)</f>
        <v>45.607999999999997</v>
      </c>
      <c r="J39" s="173">
        <f t="shared" si="1"/>
        <v>-1.3739999999999952</v>
      </c>
    </row>
    <row r="40" spans="1:23">
      <c r="B40" s="176" t="s">
        <v>366</v>
      </c>
      <c r="C40" s="174" t="s">
        <v>365</v>
      </c>
      <c r="D40" s="177" t="s">
        <v>70</v>
      </c>
      <c r="E40" s="176">
        <v>60</v>
      </c>
      <c r="F40" s="175">
        <v>344.93179300000003</v>
      </c>
      <c r="G40" s="175">
        <v>194.69</v>
      </c>
      <c r="H40" s="175">
        <v>56.442999999999998</v>
      </c>
      <c r="I40" s="174">
        <f>VLOOKUP(C40,'[1]secteur privé'!$A$2:$I$218,6,0)</f>
        <v>49.857999999999997</v>
      </c>
      <c r="J40" s="173">
        <f t="shared" si="1"/>
        <v>6.5850000000000009</v>
      </c>
    </row>
    <row r="41" spans="1:23">
      <c r="B41" s="176" t="s">
        <v>364</v>
      </c>
      <c r="C41" s="174" t="s">
        <v>363</v>
      </c>
      <c r="D41" s="177" t="s">
        <v>70</v>
      </c>
      <c r="E41" s="176">
        <v>102</v>
      </c>
      <c r="F41" s="175">
        <v>343.63731997999997</v>
      </c>
      <c r="G41" s="175">
        <v>200.89</v>
      </c>
      <c r="H41" s="175">
        <v>58.46</v>
      </c>
      <c r="I41" s="174">
        <f>VLOOKUP(C41,'[1]secteur privé'!$A$2:$I$218,6,0)</f>
        <v>70.564999999999998</v>
      </c>
      <c r="J41" s="173">
        <f t="shared" si="1"/>
        <v>-12.104999999999997</v>
      </c>
    </row>
    <row r="42" spans="1:23">
      <c r="B42" s="176" t="s">
        <v>362</v>
      </c>
      <c r="C42" s="174" t="s">
        <v>361</v>
      </c>
      <c r="D42" s="177" t="s">
        <v>70</v>
      </c>
      <c r="E42" s="176">
        <v>71</v>
      </c>
      <c r="F42" s="175">
        <v>338.11130283</v>
      </c>
      <c r="G42" s="175">
        <v>83.31</v>
      </c>
      <c r="H42" s="175">
        <v>24.64</v>
      </c>
      <c r="I42" s="174">
        <f>VLOOKUP(C42,'[1]secteur privé'!$A$2:$I$218,6,0)</f>
        <v>56.813000000000002</v>
      </c>
      <c r="J42" s="173">
        <f t="shared" si="1"/>
        <v>-32.173000000000002</v>
      </c>
    </row>
    <row r="43" spans="1:23">
      <c r="B43" s="176" t="s">
        <v>360</v>
      </c>
      <c r="C43" s="174" t="s">
        <v>359</v>
      </c>
      <c r="D43" s="177" t="s">
        <v>70</v>
      </c>
      <c r="E43" s="176">
        <v>52</v>
      </c>
      <c r="F43" s="175">
        <v>332.90636018999999</v>
      </c>
      <c r="G43" s="175">
        <v>76.33</v>
      </c>
      <c r="H43" s="175">
        <v>22.928000000000001</v>
      </c>
      <c r="I43" s="174">
        <f>VLOOKUP(C43,'[1]secteur privé'!$A$2:$I$218,6,0)</f>
        <v>53.698999999999998</v>
      </c>
      <c r="J43" s="173">
        <f t="shared" si="1"/>
        <v>-30.770999999999997</v>
      </c>
    </row>
    <row r="44" spans="1:23">
      <c r="B44" s="176" t="s">
        <v>358</v>
      </c>
      <c r="C44" s="174" t="s">
        <v>357</v>
      </c>
      <c r="D44" s="177" t="s">
        <v>70</v>
      </c>
      <c r="E44" s="176">
        <v>97</v>
      </c>
      <c r="F44" s="175">
        <v>331.56073447</v>
      </c>
      <c r="G44" s="175">
        <v>235.08</v>
      </c>
      <c r="H44" s="175">
        <v>70.900000000000006</v>
      </c>
      <c r="I44" s="174">
        <f>VLOOKUP(C44,'[1]secteur privé'!$A$2:$I$218,6,0)</f>
        <v>58.201999999999998</v>
      </c>
      <c r="J44" s="173">
        <f t="shared" si="1"/>
        <v>12.698000000000008</v>
      </c>
    </row>
    <row r="45" spans="1:23">
      <c r="B45" s="176" t="s">
        <v>356</v>
      </c>
      <c r="C45" s="174" t="s">
        <v>355</v>
      </c>
      <c r="D45" s="177" t="s">
        <v>70</v>
      </c>
      <c r="E45" s="176">
        <v>101</v>
      </c>
      <c r="F45" s="175">
        <v>324.77441322999999</v>
      </c>
      <c r="G45" s="175">
        <v>195.58</v>
      </c>
      <c r="H45" s="175">
        <v>60.219000000000001</v>
      </c>
      <c r="I45" s="174">
        <f>VLOOKUP(C45,'[1]secteur privé'!$A$2:$I$218,6,0)</f>
        <v>71.322999999999993</v>
      </c>
      <c r="J45" s="173">
        <f t="shared" si="1"/>
        <v>-11.103999999999992</v>
      </c>
    </row>
    <row r="46" spans="1:23">
      <c r="B46" s="176" t="s">
        <v>354</v>
      </c>
      <c r="C46" s="174" t="s">
        <v>353</v>
      </c>
      <c r="D46" s="177" t="s">
        <v>70</v>
      </c>
      <c r="E46" s="176">
        <v>68</v>
      </c>
      <c r="F46" s="175">
        <v>320.10541666</v>
      </c>
      <c r="G46" s="175">
        <v>95.39</v>
      </c>
      <c r="H46" s="175">
        <v>29.8</v>
      </c>
      <c r="I46" s="174">
        <f>VLOOKUP(C46,'[1]secteur privé'!$A$2:$I$218,6,0)</f>
        <v>53.942999999999998</v>
      </c>
      <c r="J46" s="173">
        <f t="shared" si="1"/>
        <v>-24.142999999999997</v>
      </c>
    </row>
    <row r="47" spans="1:23">
      <c r="B47" s="176" t="s">
        <v>352</v>
      </c>
      <c r="C47" s="174" t="s">
        <v>351</v>
      </c>
      <c r="D47" s="177" t="s">
        <v>70</v>
      </c>
      <c r="E47" s="176">
        <v>101</v>
      </c>
      <c r="F47" s="175">
        <v>315.97065436999998</v>
      </c>
      <c r="G47" s="175">
        <v>199.33</v>
      </c>
      <c r="H47" s="175">
        <v>63.084000000000003</v>
      </c>
      <c r="I47" s="174">
        <f>VLOOKUP(C47,'[1]secteur privé'!$A$2:$I$218,6,0)</f>
        <v>76.73</v>
      </c>
      <c r="J47" s="173">
        <f t="shared" si="1"/>
        <v>-13.646000000000001</v>
      </c>
    </row>
    <row r="48" spans="1:23">
      <c r="B48" s="176" t="s">
        <v>350</v>
      </c>
      <c r="C48" s="174" t="s">
        <v>349</v>
      </c>
      <c r="D48" s="177" t="s">
        <v>70</v>
      </c>
      <c r="E48" s="176">
        <v>50</v>
      </c>
      <c r="F48" s="175">
        <v>306.78106106000001</v>
      </c>
      <c r="G48" s="175">
        <v>149.22</v>
      </c>
      <c r="H48" s="175">
        <v>48.64</v>
      </c>
      <c r="I48" s="174">
        <f>VLOOKUP(C48,'[1]secteur privé'!$A$2:$I$218,6,0)</f>
        <v>62.512999999999998</v>
      </c>
      <c r="J48" s="173">
        <f t="shared" si="1"/>
        <v>-13.872999999999998</v>
      </c>
    </row>
    <row r="49" spans="2:10">
      <c r="B49" s="176" t="s">
        <v>348</v>
      </c>
      <c r="C49" s="174" t="s">
        <v>347</v>
      </c>
      <c r="D49" s="177" t="s">
        <v>70</v>
      </c>
      <c r="E49" s="176">
        <v>43</v>
      </c>
      <c r="F49" s="175">
        <v>282.63838856000001</v>
      </c>
      <c r="G49" s="175">
        <v>154.65</v>
      </c>
      <c r="H49" s="175">
        <v>54.716000000000001</v>
      </c>
      <c r="I49" s="174">
        <f>VLOOKUP(C49,'[1]secteur privé'!$A$2:$I$218,6,0)</f>
        <v>39.167999999999999</v>
      </c>
      <c r="J49" s="173">
        <f t="shared" si="1"/>
        <v>15.548000000000002</v>
      </c>
    </row>
    <row r="50" spans="2:10">
      <c r="B50" s="176" t="s">
        <v>346</v>
      </c>
      <c r="C50" s="174" t="s">
        <v>345</v>
      </c>
      <c r="D50" s="177" t="s">
        <v>70</v>
      </c>
      <c r="E50" s="176">
        <v>23</v>
      </c>
      <c r="F50" s="175">
        <v>273.99264713999997</v>
      </c>
      <c r="G50" s="175">
        <v>241.83</v>
      </c>
      <c r="H50" s="175">
        <v>88.263000000000005</v>
      </c>
      <c r="I50" s="174">
        <f>VLOOKUP(C50,'[1]secteur privé'!$A$2:$I$218,6,0)</f>
        <v>58.497</v>
      </c>
      <c r="J50" s="173">
        <f t="shared" si="1"/>
        <v>29.766000000000005</v>
      </c>
    </row>
    <row r="51" spans="2:10">
      <c r="B51" s="176" t="s">
        <v>344</v>
      </c>
      <c r="C51" s="174" t="s">
        <v>343</v>
      </c>
      <c r="D51" s="177" t="s">
        <v>70</v>
      </c>
      <c r="E51" s="176">
        <v>57</v>
      </c>
      <c r="F51" s="175">
        <v>240.70909055000001</v>
      </c>
      <c r="G51" s="175">
        <v>132.99</v>
      </c>
      <c r="H51" s="175">
        <v>55.247999999999998</v>
      </c>
      <c r="I51" s="174">
        <f>VLOOKUP(C51,'[1]secteur privé'!$A$2:$I$218,6,0)</f>
        <v>69.018000000000001</v>
      </c>
      <c r="J51" s="173">
        <f t="shared" si="1"/>
        <v>-13.770000000000003</v>
      </c>
    </row>
    <row r="52" spans="2:10">
      <c r="B52" s="176" t="s">
        <v>342</v>
      </c>
      <c r="C52" s="174" t="s">
        <v>341</v>
      </c>
      <c r="D52" s="177" t="s">
        <v>70</v>
      </c>
      <c r="E52" s="176">
        <v>36</v>
      </c>
      <c r="F52" s="175">
        <v>228.62545686999999</v>
      </c>
      <c r="G52" s="175">
        <v>170.28</v>
      </c>
      <c r="H52" s="175">
        <v>74.48</v>
      </c>
      <c r="I52" s="174">
        <f>VLOOKUP(C52,'[1]secteur privé'!$A$2:$I$218,6,0)</f>
        <v>72.623999999999995</v>
      </c>
      <c r="J52" s="173">
        <f t="shared" si="1"/>
        <v>1.8560000000000088</v>
      </c>
    </row>
    <row r="53" spans="2:10">
      <c r="B53" s="176" t="s">
        <v>340</v>
      </c>
      <c r="C53" s="174" t="s">
        <v>339</v>
      </c>
      <c r="D53" s="177" t="s">
        <v>70</v>
      </c>
      <c r="E53" s="176">
        <v>75</v>
      </c>
      <c r="F53" s="175">
        <v>223.79227890999999</v>
      </c>
      <c r="G53" s="175">
        <v>52.42</v>
      </c>
      <c r="H53" s="175">
        <v>23.423999999999999</v>
      </c>
      <c r="I53" s="174">
        <f>VLOOKUP(C53,'[1]secteur privé'!$A$2:$I$218,6,0)</f>
        <v>30.71</v>
      </c>
      <c r="J53" s="173">
        <f t="shared" si="1"/>
        <v>-7.2860000000000014</v>
      </c>
    </row>
    <row r="54" spans="2:10">
      <c r="B54" s="176" t="s">
        <v>338</v>
      </c>
      <c r="C54" s="174" t="s">
        <v>337</v>
      </c>
      <c r="D54" s="177" t="s">
        <v>70</v>
      </c>
      <c r="E54" s="176">
        <v>54</v>
      </c>
      <c r="F54" s="175">
        <v>214.55188562000001</v>
      </c>
      <c r="G54" s="175">
        <v>140.53</v>
      </c>
      <c r="H54" s="175">
        <v>65.498000000000005</v>
      </c>
      <c r="I54" s="174">
        <f>VLOOKUP(C54,'[1]secteur privé'!$A$2:$I$218,6,0)</f>
        <v>77.968999999999994</v>
      </c>
      <c r="J54" s="173">
        <f t="shared" si="1"/>
        <v>-12.470999999999989</v>
      </c>
    </row>
    <row r="55" spans="2:10">
      <c r="B55" s="176" t="s">
        <v>336</v>
      </c>
      <c r="C55" s="174" t="s">
        <v>335</v>
      </c>
      <c r="D55" s="177" t="s">
        <v>70</v>
      </c>
      <c r="E55" s="176">
        <v>34</v>
      </c>
      <c r="F55" s="175">
        <v>194.24906167</v>
      </c>
      <c r="G55" s="175">
        <v>114.55</v>
      </c>
      <c r="H55" s="175">
        <v>58.972000000000001</v>
      </c>
      <c r="I55" s="174">
        <f>VLOOKUP(C55,'[1]secteur privé'!$A$2:$I$218,6,0)</f>
        <v>75.400999999999996</v>
      </c>
      <c r="J55" s="173">
        <f t="shared" si="1"/>
        <v>-16.428999999999995</v>
      </c>
    </row>
    <row r="56" spans="2:10">
      <c r="B56" s="176" t="s">
        <v>334</v>
      </c>
      <c r="C56" s="174" t="s">
        <v>333</v>
      </c>
      <c r="D56" s="177" t="s">
        <v>70</v>
      </c>
      <c r="E56" s="176">
        <v>54</v>
      </c>
      <c r="F56" s="175">
        <v>181.33517402999999</v>
      </c>
      <c r="G56" s="175">
        <v>108.41</v>
      </c>
      <c r="H56" s="175">
        <v>59.781999999999996</v>
      </c>
      <c r="I56" s="174">
        <f>VLOOKUP(C56,'[1]secteur privé'!$A$2:$I$218,6,0)</f>
        <v>59.395000000000003</v>
      </c>
      <c r="J56" s="173">
        <f t="shared" si="1"/>
        <v>0.38699999999999335</v>
      </c>
    </row>
    <row r="57" spans="2:10">
      <c r="B57" s="176" t="s">
        <v>332</v>
      </c>
      <c r="C57" s="174" t="s">
        <v>331</v>
      </c>
      <c r="D57" s="177" t="s">
        <v>70</v>
      </c>
      <c r="E57" s="176">
        <v>30</v>
      </c>
      <c r="F57" s="175">
        <v>179.00087465999999</v>
      </c>
      <c r="G57" s="175">
        <v>138.19999999999999</v>
      </c>
      <c r="H57" s="175">
        <v>77.206000000000003</v>
      </c>
      <c r="I57" s="174">
        <f>VLOOKUP(C57,'[1]secteur privé'!$A$2:$I$218,6,0)</f>
        <v>71.293000000000006</v>
      </c>
      <c r="J57" s="173">
        <f t="shared" si="1"/>
        <v>5.9129999999999967</v>
      </c>
    </row>
    <row r="58" spans="2:10">
      <c r="B58" s="176" t="s">
        <v>330</v>
      </c>
      <c r="C58" s="174" t="s">
        <v>329</v>
      </c>
      <c r="D58" s="177" t="s">
        <v>70</v>
      </c>
      <c r="E58" s="176">
        <v>9</v>
      </c>
      <c r="F58" s="175">
        <v>159.47926484999999</v>
      </c>
      <c r="G58" s="175">
        <v>13.72</v>
      </c>
      <c r="H58" s="175">
        <v>8.6059999999999999</v>
      </c>
      <c r="I58" s="174">
        <f>VLOOKUP(C58,'[1]secteur privé'!$A$2:$I$218,6,0)</f>
        <v>62.802</v>
      </c>
      <c r="J58" s="173">
        <f t="shared" si="1"/>
        <v>-54.195999999999998</v>
      </c>
    </row>
    <row r="59" spans="2:10">
      <c r="B59" s="176" t="s">
        <v>328</v>
      </c>
      <c r="C59" s="174" t="s">
        <v>327</v>
      </c>
      <c r="D59" s="177" t="s">
        <v>70</v>
      </c>
      <c r="E59" s="176">
        <v>50</v>
      </c>
      <c r="F59" s="175">
        <v>157.81746143999999</v>
      </c>
      <c r="G59" s="175">
        <v>79.09</v>
      </c>
      <c r="H59" s="175">
        <v>50.115000000000002</v>
      </c>
      <c r="I59" s="174">
        <f>VLOOKUP(C59,'[1]secteur privé'!$A$2:$I$218,6,0)</f>
        <v>44.81</v>
      </c>
      <c r="J59" s="173">
        <f t="shared" si="1"/>
        <v>5.3049999999999997</v>
      </c>
    </row>
    <row r="60" spans="2:10">
      <c r="B60" s="176" t="s">
        <v>326</v>
      </c>
      <c r="C60" s="174" t="s">
        <v>325</v>
      </c>
      <c r="D60" s="177" t="s">
        <v>70</v>
      </c>
      <c r="E60" s="176">
        <v>30</v>
      </c>
      <c r="F60" s="175">
        <v>153.48816239999999</v>
      </c>
      <c r="G60" s="175">
        <v>115.77</v>
      </c>
      <c r="H60" s="175">
        <v>75.424999999999997</v>
      </c>
      <c r="I60" s="174">
        <f>VLOOKUP(C60,'[1]secteur privé'!$A$2:$I$218,6,0)</f>
        <v>79.495999999999995</v>
      </c>
      <c r="J60" s="173">
        <f t="shared" si="1"/>
        <v>-4.070999999999998</v>
      </c>
    </row>
    <row r="61" spans="2:10">
      <c r="B61" s="176" t="s">
        <v>324</v>
      </c>
      <c r="C61" s="174" t="s">
        <v>323</v>
      </c>
      <c r="D61" s="177" t="s">
        <v>70</v>
      </c>
      <c r="E61" s="176">
        <v>15</v>
      </c>
      <c r="F61" s="175">
        <v>142.64822688999999</v>
      </c>
      <c r="G61" s="175">
        <v>0</v>
      </c>
      <c r="H61" s="175">
        <v>0</v>
      </c>
      <c r="I61" s="174">
        <f>VLOOKUP(C61,'[1]secteur privé'!$A$2:$I$218,6,0)</f>
        <v>43.978000000000002</v>
      </c>
      <c r="J61" s="173">
        <f t="shared" si="1"/>
        <v>-43.978000000000002</v>
      </c>
    </row>
    <row r="62" spans="2:10">
      <c r="B62" s="176" t="s">
        <v>322</v>
      </c>
      <c r="C62" s="174" t="s">
        <v>321</v>
      </c>
      <c r="D62" s="177" t="s">
        <v>70</v>
      </c>
      <c r="E62" s="176">
        <v>18</v>
      </c>
      <c r="F62" s="175">
        <v>140.39809847000001</v>
      </c>
      <c r="G62" s="175">
        <v>16.420000000000002</v>
      </c>
      <c r="H62" s="175">
        <v>11.699</v>
      </c>
      <c r="I62" s="174">
        <f>VLOOKUP(C62,'[1]secteur privé'!$A$2:$I$218,6,0)</f>
        <v>65.328999999999994</v>
      </c>
      <c r="J62" s="173">
        <f t="shared" si="1"/>
        <v>-53.629999999999995</v>
      </c>
    </row>
    <row r="63" spans="2:10">
      <c r="B63" s="176" t="s">
        <v>320</v>
      </c>
      <c r="C63" s="174" t="s">
        <v>319</v>
      </c>
      <c r="D63" s="177" t="s">
        <v>70</v>
      </c>
      <c r="E63" s="176">
        <v>23</v>
      </c>
      <c r="F63" s="175">
        <v>131.19018095999999</v>
      </c>
      <c r="G63" s="175">
        <v>21.57</v>
      </c>
      <c r="H63" s="175">
        <v>16.439</v>
      </c>
      <c r="I63" s="174">
        <f>VLOOKUP(C63,'[1]secteur privé'!$A$2:$I$218,6,0)</f>
        <v>59.603999999999999</v>
      </c>
      <c r="J63" s="173">
        <f t="shared" si="1"/>
        <v>-43.164999999999999</v>
      </c>
    </row>
    <row r="64" spans="2:10">
      <c r="B64" s="176" t="s">
        <v>318</v>
      </c>
      <c r="C64" s="174" t="s">
        <v>317</v>
      </c>
      <c r="D64" s="177" t="s">
        <v>70</v>
      </c>
      <c r="E64" s="176">
        <v>23</v>
      </c>
      <c r="F64" s="175">
        <v>129.95974100999999</v>
      </c>
      <c r="G64" s="175">
        <v>47.88</v>
      </c>
      <c r="H64" s="175">
        <v>36.838999999999999</v>
      </c>
      <c r="I64" s="174">
        <f>VLOOKUP(C64,'[1]secteur privé'!$A$2:$I$218,6,0)</f>
        <v>79.411000000000001</v>
      </c>
      <c r="J64" s="173">
        <f t="shared" si="1"/>
        <v>-42.572000000000003</v>
      </c>
    </row>
    <row r="65" spans="2:10">
      <c r="B65" s="176" t="s">
        <v>316</v>
      </c>
      <c r="C65" s="174" t="s">
        <v>315</v>
      </c>
      <c r="D65" s="177" t="s">
        <v>70</v>
      </c>
      <c r="E65" s="176">
        <v>27</v>
      </c>
      <c r="F65" s="175">
        <v>128.03330613</v>
      </c>
      <c r="G65" s="175">
        <v>47.1</v>
      </c>
      <c r="H65" s="175">
        <v>36.783999999999999</v>
      </c>
      <c r="I65" s="174">
        <f>VLOOKUP(C65,'[1]secteur privé'!$A$2:$I$218,6,0)</f>
        <v>71.451999999999998</v>
      </c>
      <c r="J65" s="173">
        <f t="shared" si="1"/>
        <v>-34.667999999999999</v>
      </c>
    </row>
    <row r="66" spans="2:10">
      <c r="B66" s="176" t="s">
        <v>314</v>
      </c>
      <c r="C66" s="174" t="s">
        <v>313</v>
      </c>
      <c r="D66" s="177" t="s">
        <v>70</v>
      </c>
      <c r="E66" s="176">
        <v>37</v>
      </c>
      <c r="F66" s="175">
        <v>127.00566721</v>
      </c>
      <c r="G66" s="175">
        <v>108.45</v>
      </c>
      <c r="H66" s="175">
        <v>85.391999999999996</v>
      </c>
      <c r="I66" s="174">
        <f>VLOOKUP(C66,'[1]secteur privé'!$A$2:$I$218,6,0)</f>
        <v>78.087999999999994</v>
      </c>
      <c r="J66" s="173">
        <f t="shared" si="1"/>
        <v>7.304000000000002</v>
      </c>
    </row>
    <row r="67" spans="2:10">
      <c r="B67" s="176" t="s">
        <v>312</v>
      </c>
      <c r="C67" s="174" t="s">
        <v>311</v>
      </c>
      <c r="D67" s="177" t="s">
        <v>70</v>
      </c>
      <c r="E67" s="176">
        <v>23</v>
      </c>
      <c r="F67" s="175">
        <v>121.64397778</v>
      </c>
      <c r="G67" s="175">
        <v>40.130000000000003</v>
      </c>
      <c r="H67" s="175">
        <v>32.994</v>
      </c>
      <c r="I67" s="174">
        <f>VLOOKUP(C67,'[1]secteur privé'!$A$2:$I$218,6,0)</f>
        <v>59.747999999999998</v>
      </c>
      <c r="J67" s="173">
        <f t="shared" ref="J67:J98" si="2">H67-I67</f>
        <v>-26.753999999999998</v>
      </c>
    </row>
    <row r="68" spans="2:10">
      <c r="B68" s="176" t="s">
        <v>310</v>
      </c>
      <c r="C68" s="174" t="s">
        <v>309</v>
      </c>
      <c r="D68" s="177" t="s">
        <v>70</v>
      </c>
      <c r="E68" s="176">
        <v>35</v>
      </c>
      <c r="F68" s="175">
        <v>113.75755313000001</v>
      </c>
      <c r="G68" s="175">
        <v>64.89</v>
      </c>
      <c r="H68" s="175">
        <v>57.045000000000002</v>
      </c>
      <c r="I68" s="174">
        <f>VLOOKUP(C68,'[1]secteur privé'!$A$2:$I$218,6,0)</f>
        <v>46.808999999999997</v>
      </c>
      <c r="J68" s="173">
        <f t="shared" si="2"/>
        <v>10.236000000000004</v>
      </c>
    </row>
    <row r="69" spans="2:10">
      <c r="B69" s="176" t="s">
        <v>308</v>
      </c>
      <c r="C69" s="174" t="s">
        <v>307</v>
      </c>
      <c r="D69" s="177" t="s">
        <v>70</v>
      </c>
      <c r="E69" s="176">
        <v>21</v>
      </c>
      <c r="F69" s="175">
        <v>111.22070703</v>
      </c>
      <c r="G69" s="175">
        <v>46.79</v>
      </c>
      <c r="H69" s="175">
        <v>42.067999999999998</v>
      </c>
      <c r="I69" s="174">
        <f>VLOOKUP(C69,'[1]secteur privé'!$A$2:$I$218,6,0)</f>
        <v>54.65</v>
      </c>
      <c r="J69" s="173">
        <f t="shared" si="2"/>
        <v>-12.582000000000001</v>
      </c>
    </row>
    <row r="70" spans="2:10">
      <c r="B70" s="176" t="s">
        <v>306</v>
      </c>
      <c r="C70" s="174" t="s">
        <v>305</v>
      </c>
      <c r="D70" s="177" t="s">
        <v>70</v>
      </c>
      <c r="E70" s="176">
        <v>24</v>
      </c>
      <c r="F70" s="175">
        <v>102.56372109</v>
      </c>
      <c r="G70" s="175">
        <v>20.62</v>
      </c>
      <c r="H70" s="175">
        <v>20.106999999999999</v>
      </c>
      <c r="I70" s="174">
        <f>VLOOKUP(C70,'[1]secteur privé'!$A$2:$I$218,6,0)</f>
        <v>49.603999999999999</v>
      </c>
      <c r="J70" s="173">
        <f t="shared" si="2"/>
        <v>-29.497</v>
      </c>
    </row>
    <row r="71" spans="2:10">
      <c r="B71" s="176" t="s">
        <v>304</v>
      </c>
      <c r="C71" s="174" t="s">
        <v>303</v>
      </c>
      <c r="D71" s="177" t="s">
        <v>70</v>
      </c>
      <c r="E71" s="176">
        <v>25</v>
      </c>
      <c r="F71" s="175">
        <v>102.10399499</v>
      </c>
      <c r="G71" s="175">
        <v>17.61</v>
      </c>
      <c r="H71" s="175">
        <v>17.242999999999999</v>
      </c>
      <c r="I71" s="174">
        <f>VLOOKUP(C71,'[1]secteur privé'!$A$2:$I$218,6,0)</f>
        <v>45.984999999999999</v>
      </c>
      <c r="J71" s="173">
        <f t="shared" si="2"/>
        <v>-28.742000000000001</v>
      </c>
    </row>
    <row r="72" spans="2:10">
      <c r="B72" s="176" t="s">
        <v>302</v>
      </c>
      <c r="C72" s="174" t="s">
        <v>301</v>
      </c>
      <c r="D72" s="177" t="s">
        <v>70</v>
      </c>
      <c r="E72" s="176">
        <v>2</v>
      </c>
      <c r="F72" s="175">
        <v>101.35323012000001</v>
      </c>
      <c r="G72" s="175">
        <v>0</v>
      </c>
      <c r="H72" s="175">
        <v>0</v>
      </c>
      <c r="I72" s="174">
        <f>VLOOKUP(C72,'[1]secteur privé'!$A$2:$I$218,6,0)</f>
        <v>37.648000000000003</v>
      </c>
      <c r="J72" s="173">
        <f t="shared" si="2"/>
        <v>-37.648000000000003</v>
      </c>
    </row>
    <row r="73" spans="2:10">
      <c r="B73" s="176" t="s">
        <v>300</v>
      </c>
      <c r="C73" s="174" t="s">
        <v>299</v>
      </c>
      <c r="D73" s="177" t="s">
        <v>70</v>
      </c>
      <c r="E73" s="176">
        <v>15</v>
      </c>
      <c r="F73" s="175">
        <v>95.816349853999995</v>
      </c>
      <c r="G73" s="175">
        <v>15.36</v>
      </c>
      <c r="H73" s="175">
        <v>16.035</v>
      </c>
      <c r="I73" s="174">
        <f>VLOOKUP(C73,'[1]secteur privé'!$A$2:$I$218,6,0)</f>
        <v>60.875</v>
      </c>
      <c r="J73" s="173">
        <f t="shared" si="2"/>
        <v>-44.84</v>
      </c>
    </row>
    <row r="74" spans="2:10">
      <c r="B74" s="176" t="s">
        <v>298</v>
      </c>
      <c r="C74" s="174" t="s">
        <v>297</v>
      </c>
      <c r="D74" s="177" t="s">
        <v>70</v>
      </c>
      <c r="E74" s="176">
        <v>32</v>
      </c>
      <c r="F74" s="175">
        <v>91.582529312000005</v>
      </c>
      <c r="G74" s="175">
        <v>31.65</v>
      </c>
      <c r="H74" s="175">
        <v>34.56</v>
      </c>
      <c r="I74" s="174">
        <f>VLOOKUP(C74,'[1]secteur privé'!$A$2:$I$218,6,0)</f>
        <v>52.353000000000002</v>
      </c>
      <c r="J74" s="173">
        <f t="shared" si="2"/>
        <v>-17.792999999999999</v>
      </c>
    </row>
    <row r="75" spans="2:10">
      <c r="B75" s="176" t="s">
        <v>296</v>
      </c>
      <c r="C75" s="174" t="s">
        <v>295</v>
      </c>
      <c r="D75" s="177" t="s">
        <v>70</v>
      </c>
      <c r="E75" s="176">
        <v>28</v>
      </c>
      <c r="F75" s="175">
        <v>90.091849181000001</v>
      </c>
      <c r="G75" s="175">
        <v>36.229999999999997</v>
      </c>
      <c r="H75" s="175">
        <v>40.218000000000004</v>
      </c>
      <c r="I75" s="174">
        <f>VLOOKUP(C75,'[1]secteur privé'!$A$2:$I$218,6,0)</f>
        <v>39.343000000000004</v>
      </c>
      <c r="J75" s="173">
        <f t="shared" si="2"/>
        <v>0.875</v>
      </c>
    </row>
    <row r="76" spans="2:10">
      <c r="B76" s="176" t="s">
        <v>294</v>
      </c>
      <c r="C76" s="174" t="s">
        <v>293</v>
      </c>
      <c r="D76" s="177" t="s">
        <v>70</v>
      </c>
      <c r="E76" s="176">
        <v>33</v>
      </c>
      <c r="F76" s="175">
        <v>89.526922988999999</v>
      </c>
      <c r="G76" s="175">
        <v>74.540000000000006</v>
      </c>
      <c r="H76" s="175">
        <v>83.260999999999996</v>
      </c>
      <c r="I76" s="174">
        <f>VLOOKUP(C76,'[1]secteur privé'!$A$2:$I$218,6,0)</f>
        <v>78.254999999999995</v>
      </c>
      <c r="J76" s="173">
        <f t="shared" si="2"/>
        <v>5.0060000000000002</v>
      </c>
    </row>
    <row r="77" spans="2:10">
      <c r="B77" s="176" t="s">
        <v>292</v>
      </c>
      <c r="C77" s="174" t="s">
        <v>291</v>
      </c>
      <c r="D77" s="177" t="s">
        <v>70</v>
      </c>
      <c r="E77" s="176">
        <v>18</v>
      </c>
      <c r="F77" s="175">
        <v>83.818527782999993</v>
      </c>
      <c r="G77" s="175">
        <v>40.340000000000003</v>
      </c>
      <c r="H77" s="175">
        <v>48.131999999999998</v>
      </c>
      <c r="I77" s="174">
        <f>VLOOKUP(C77,'[1]secteur privé'!$A$2:$I$218,6,0)</f>
        <v>48.212000000000003</v>
      </c>
      <c r="J77" s="173">
        <f t="shared" si="2"/>
        <v>-8.00000000000054E-2</v>
      </c>
    </row>
    <row r="78" spans="2:10">
      <c r="B78" s="176" t="s">
        <v>290</v>
      </c>
      <c r="C78" s="174" t="s">
        <v>289</v>
      </c>
      <c r="D78" s="177" t="s">
        <v>70</v>
      </c>
      <c r="E78" s="176">
        <v>30</v>
      </c>
      <c r="F78" s="175">
        <v>83.404694216999999</v>
      </c>
      <c r="G78" s="175">
        <v>50.24</v>
      </c>
      <c r="H78" s="175">
        <v>60.231999999999999</v>
      </c>
      <c r="I78" s="174">
        <f>VLOOKUP(C78,'[1]secteur privé'!$A$2:$I$218,6,0)</f>
        <v>68.156999999999996</v>
      </c>
      <c r="J78" s="173">
        <f t="shared" si="2"/>
        <v>-7.9249999999999972</v>
      </c>
    </row>
    <row r="79" spans="2:10">
      <c r="B79" s="176" t="s">
        <v>288</v>
      </c>
      <c r="C79" s="174" t="s">
        <v>287</v>
      </c>
      <c r="D79" s="177" t="s">
        <v>70</v>
      </c>
      <c r="E79" s="176">
        <v>12</v>
      </c>
      <c r="F79" s="175">
        <v>81.252452809000005</v>
      </c>
      <c r="G79" s="175">
        <v>2.57</v>
      </c>
      <c r="H79" s="175">
        <v>3.157</v>
      </c>
      <c r="I79" s="174">
        <f>VLOOKUP(C79,'[1]secteur privé'!$A$2:$I$218,6,0)</f>
        <v>38.972999999999999</v>
      </c>
      <c r="J79" s="173">
        <f t="shared" si="2"/>
        <v>-35.816000000000003</v>
      </c>
    </row>
    <row r="80" spans="2:10">
      <c r="B80" s="176" t="s">
        <v>286</v>
      </c>
      <c r="C80" s="174" t="s">
        <v>285</v>
      </c>
      <c r="D80" s="177" t="s">
        <v>70</v>
      </c>
      <c r="E80" s="176">
        <v>21</v>
      </c>
      <c r="F80" s="175">
        <v>80.024024335999997</v>
      </c>
      <c r="G80" s="175">
        <v>39.270000000000003</v>
      </c>
      <c r="H80" s="175">
        <v>49.075000000000003</v>
      </c>
      <c r="I80" s="174">
        <f>VLOOKUP(C80,'[1]secteur privé'!$A$2:$I$218,6,0)</f>
        <v>69.802000000000007</v>
      </c>
      <c r="J80" s="173">
        <f t="shared" si="2"/>
        <v>-20.727000000000004</v>
      </c>
    </row>
    <row r="81" spans="2:10">
      <c r="B81" s="176" t="s">
        <v>284</v>
      </c>
      <c r="C81" s="174" t="s">
        <v>283</v>
      </c>
      <c r="D81" s="177" t="s">
        <v>70</v>
      </c>
      <c r="E81" s="176">
        <v>34</v>
      </c>
      <c r="F81" s="175">
        <v>75.986190664000006</v>
      </c>
      <c r="G81" s="175">
        <v>22.97</v>
      </c>
      <c r="H81" s="175">
        <v>30.23</v>
      </c>
      <c r="I81" s="174">
        <f>VLOOKUP(C81,'[1]secteur privé'!$A$2:$I$218,6,0)</f>
        <v>65.893000000000001</v>
      </c>
      <c r="J81" s="173">
        <f t="shared" si="2"/>
        <v>-35.662999999999997</v>
      </c>
    </row>
    <row r="82" spans="2:10">
      <c r="B82" s="176" t="s">
        <v>282</v>
      </c>
      <c r="C82" s="174" t="s">
        <v>281</v>
      </c>
      <c r="D82" s="177" t="s">
        <v>70</v>
      </c>
      <c r="E82" s="176">
        <v>20</v>
      </c>
      <c r="F82" s="175">
        <v>73.853954989000002</v>
      </c>
      <c r="G82" s="175">
        <v>59.16</v>
      </c>
      <c r="H82" s="175">
        <v>80.099999999999994</v>
      </c>
      <c r="I82" s="174">
        <f>VLOOKUP(C82,'[1]secteur privé'!$A$2:$I$218,6,0)</f>
        <v>50.097999999999999</v>
      </c>
      <c r="J82" s="173">
        <f t="shared" si="2"/>
        <v>30.001999999999995</v>
      </c>
    </row>
    <row r="83" spans="2:10">
      <c r="B83" s="176" t="s">
        <v>280</v>
      </c>
      <c r="C83" s="174" t="s">
        <v>279</v>
      </c>
      <c r="D83" s="177" t="s">
        <v>70</v>
      </c>
      <c r="E83" s="176">
        <v>11</v>
      </c>
      <c r="F83" s="175">
        <v>72.649428154999995</v>
      </c>
      <c r="G83" s="175">
        <v>55.92</v>
      </c>
      <c r="H83" s="175">
        <v>76.974999999999994</v>
      </c>
      <c r="I83" s="174">
        <f>VLOOKUP(C83,'[1]secteur privé'!$A$2:$I$218,6,0)</f>
        <v>70.658000000000001</v>
      </c>
      <c r="J83" s="173">
        <f t="shared" si="2"/>
        <v>6.3169999999999931</v>
      </c>
    </row>
    <row r="84" spans="2:10">
      <c r="B84" s="176" t="s">
        <v>278</v>
      </c>
      <c r="C84" s="174" t="s">
        <v>277</v>
      </c>
      <c r="D84" s="177" t="s">
        <v>70</v>
      </c>
      <c r="E84" s="176">
        <v>24</v>
      </c>
      <c r="F84" s="175">
        <v>71.231936837000006</v>
      </c>
      <c r="G84" s="175">
        <v>48.32</v>
      </c>
      <c r="H84" s="175">
        <v>67.838999999999999</v>
      </c>
      <c r="I84" s="174">
        <f>VLOOKUP(C84,'[1]secteur privé'!$A$2:$I$218,6,0)</f>
        <v>59.003999999999998</v>
      </c>
      <c r="J84" s="173">
        <f t="shared" si="2"/>
        <v>8.8350000000000009</v>
      </c>
    </row>
    <row r="85" spans="2:10">
      <c r="B85" s="176" t="s">
        <v>276</v>
      </c>
      <c r="C85" s="174" t="s">
        <v>275</v>
      </c>
      <c r="D85" s="177" t="s">
        <v>70</v>
      </c>
      <c r="E85" s="176">
        <v>8</v>
      </c>
      <c r="F85" s="175">
        <v>70.373132413999997</v>
      </c>
      <c r="G85" s="175">
        <v>0</v>
      </c>
      <c r="H85" s="175">
        <v>0</v>
      </c>
      <c r="I85" s="174">
        <f>VLOOKUP(C85,'[1]secteur privé'!$A$2:$I$218,6,0)</f>
        <v>30.492000000000001</v>
      </c>
      <c r="J85" s="173">
        <f t="shared" si="2"/>
        <v>-30.492000000000001</v>
      </c>
    </row>
    <row r="86" spans="2:10">
      <c r="B86" s="176" t="s">
        <v>274</v>
      </c>
      <c r="C86" s="174" t="s">
        <v>273</v>
      </c>
      <c r="D86" s="177" t="s">
        <v>70</v>
      </c>
      <c r="E86" s="176">
        <v>5</v>
      </c>
      <c r="F86" s="175">
        <v>68.269162385000001</v>
      </c>
      <c r="G86" s="175">
        <v>16.54</v>
      </c>
      <c r="H86" s="175">
        <v>24.23</v>
      </c>
      <c r="I86" s="174">
        <f>VLOOKUP(C86,'[1]secteur privé'!$A$2:$I$218,6,0)</f>
        <v>45.203000000000003</v>
      </c>
      <c r="J86" s="173">
        <f t="shared" si="2"/>
        <v>-20.973000000000003</v>
      </c>
    </row>
    <row r="87" spans="2:10">
      <c r="B87" s="176" t="s">
        <v>272</v>
      </c>
      <c r="C87" s="174" t="s">
        <v>271</v>
      </c>
      <c r="D87" s="177" t="s">
        <v>70</v>
      </c>
      <c r="E87" s="176">
        <v>9</v>
      </c>
      <c r="F87" s="175">
        <v>61.391591030999997</v>
      </c>
      <c r="G87" s="175">
        <v>5.03</v>
      </c>
      <c r="H87" s="175">
        <v>8.1999999999999993</v>
      </c>
      <c r="I87" s="174">
        <f>VLOOKUP(C87,'[1]secteur privé'!$A$2:$I$218,6,0)</f>
        <v>42.597000000000001</v>
      </c>
      <c r="J87" s="173">
        <f t="shared" si="2"/>
        <v>-34.397000000000006</v>
      </c>
    </row>
    <row r="88" spans="2:10">
      <c r="B88" s="176" t="s">
        <v>270</v>
      </c>
      <c r="C88" s="174" t="s">
        <v>269</v>
      </c>
      <c r="D88" s="177" t="s">
        <v>70</v>
      </c>
      <c r="E88" s="176">
        <v>18</v>
      </c>
      <c r="F88" s="175">
        <v>56.194028279000001</v>
      </c>
      <c r="G88" s="175">
        <v>29.95</v>
      </c>
      <c r="H88" s="175">
        <v>53.292999999999999</v>
      </c>
      <c r="I88" s="174">
        <f>VLOOKUP(C88,'[1]secteur privé'!$A$2:$I$218,6,0)</f>
        <v>61.662999999999997</v>
      </c>
      <c r="J88" s="173">
        <f t="shared" si="2"/>
        <v>-8.3699999999999974</v>
      </c>
    </row>
    <row r="89" spans="2:10">
      <c r="B89" s="176" t="s">
        <v>268</v>
      </c>
      <c r="C89" s="174" t="s">
        <v>267</v>
      </c>
      <c r="D89" s="177" t="s">
        <v>70</v>
      </c>
      <c r="E89" s="176">
        <v>2</v>
      </c>
      <c r="F89" s="175">
        <v>56.132359659999999</v>
      </c>
      <c r="G89" s="175">
        <v>0</v>
      </c>
      <c r="H89" s="175">
        <v>0</v>
      </c>
      <c r="I89" s="174">
        <f>VLOOKUP(C89,'[1]secteur privé'!$A$2:$I$218,6,0)</f>
        <v>38.844999999999999</v>
      </c>
      <c r="J89" s="173">
        <f t="shared" si="2"/>
        <v>-38.844999999999999</v>
      </c>
    </row>
    <row r="90" spans="2:10">
      <c r="B90" s="176" t="s">
        <v>266</v>
      </c>
      <c r="C90" s="174" t="s">
        <v>265</v>
      </c>
      <c r="D90" s="177" t="s">
        <v>70</v>
      </c>
      <c r="E90" s="176">
        <v>13</v>
      </c>
      <c r="F90" s="175">
        <v>54.942182281999997</v>
      </c>
      <c r="G90" s="175">
        <v>51.2</v>
      </c>
      <c r="H90" s="175">
        <v>93.185000000000002</v>
      </c>
      <c r="I90" s="174">
        <f>VLOOKUP(C90,'[1]secteur privé'!$A$2:$I$218,6,0)</f>
        <v>60.951000000000001</v>
      </c>
      <c r="J90" s="173">
        <f t="shared" si="2"/>
        <v>32.234000000000002</v>
      </c>
    </row>
    <row r="91" spans="2:10">
      <c r="B91" s="176" t="s">
        <v>264</v>
      </c>
      <c r="C91" s="174" t="s">
        <v>263</v>
      </c>
      <c r="D91" s="177" t="s">
        <v>70</v>
      </c>
      <c r="E91" s="176">
        <v>3</v>
      </c>
      <c r="F91" s="175">
        <v>54.767804683999998</v>
      </c>
      <c r="G91" s="175">
        <v>20.56</v>
      </c>
      <c r="H91" s="175">
        <v>37.540999999999997</v>
      </c>
      <c r="I91" s="174">
        <f>VLOOKUP(C91,'[1]secteur privé'!$A$2:$I$218,6,0)</f>
        <v>47.454000000000001</v>
      </c>
      <c r="J91" s="173">
        <f t="shared" si="2"/>
        <v>-9.9130000000000038</v>
      </c>
    </row>
    <row r="92" spans="2:10">
      <c r="B92" s="176" t="s">
        <v>262</v>
      </c>
      <c r="C92" s="174" t="s">
        <v>261</v>
      </c>
      <c r="D92" s="177" t="s">
        <v>70</v>
      </c>
      <c r="E92" s="176">
        <v>20</v>
      </c>
      <c r="F92" s="175">
        <v>51.83434038</v>
      </c>
      <c r="G92" s="175">
        <v>37.96</v>
      </c>
      <c r="H92" s="175">
        <v>73.23</v>
      </c>
      <c r="I92" s="174">
        <f>VLOOKUP(C92,'[1]secteur privé'!$A$2:$I$218,6,0)</f>
        <v>69.143000000000001</v>
      </c>
      <c r="J92" s="173">
        <f t="shared" si="2"/>
        <v>4.0870000000000033</v>
      </c>
    </row>
    <row r="93" spans="2:10">
      <c r="B93" s="176" t="s">
        <v>260</v>
      </c>
      <c r="C93" s="174" t="s">
        <v>259</v>
      </c>
      <c r="D93" s="177" t="s">
        <v>70</v>
      </c>
      <c r="E93" s="176">
        <v>16</v>
      </c>
      <c r="F93" s="175">
        <v>51.456454548000004</v>
      </c>
      <c r="G93" s="175">
        <v>21.59</v>
      </c>
      <c r="H93" s="175">
        <v>41.962000000000003</v>
      </c>
      <c r="I93" s="174">
        <f>VLOOKUP(C93,'[1]secteur privé'!$A$2:$I$218,6,0)</f>
        <v>58.921999999999997</v>
      </c>
      <c r="J93" s="173">
        <f t="shared" si="2"/>
        <v>-16.959999999999994</v>
      </c>
    </row>
    <row r="94" spans="2:10">
      <c r="B94" s="176" t="s">
        <v>258</v>
      </c>
      <c r="C94" s="174" t="s">
        <v>257</v>
      </c>
      <c r="D94" s="177" t="s">
        <v>70</v>
      </c>
      <c r="E94" s="176">
        <v>16</v>
      </c>
      <c r="F94" s="175">
        <v>47.396002353999997</v>
      </c>
      <c r="G94" s="175">
        <v>23.38</v>
      </c>
      <c r="H94" s="175">
        <v>49.319000000000003</v>
      </c>
      <c r="I94" s="174">
        <f>VLOOKUP(C94,'[1]secteur privé'!$A$2:$I$218,6,0)</f>
        <v>43.762999999999998</v>
      </c>
      <c r="J94" s="173">
        <f t="shared" si="2"/>
        <v>5.5560000000000045</v>
      </c>
    </row>
    <row r="95" spans="2:10">
      <c r="B95" s="176" t="s">
        <v>256</v>
      </c>
      <c r="C95" s="174" t="s">
        <v>255</v>
      </c>
      <c r="D95" s="177" t="s">
        <v>70</v>
      </c>
      <c r="E95" s="176">
        <v>2</v>
      </c>
      <c r="F95" s="175">
        <v>47.358313514999999</v>
      </c>
      <c r="G95" s="175">
        <v>2.88</v>
      </c>
      <c r="H95" s="175">
        <v>6.0709999999999997</v>
      </c>
      <c r="I95" s="174">
        <f>VLOOKUP(C95,'[1]secteur privé'!$A$2:$I$218,6,0)</f>
        <v>57.302</v>
      </c>
      <c r="J95" s="173">
        <f t="shared" si="2"/>
        <v>-51.231000000000002</v>
      </c>
    </row>
    <row r="96" spans="2:10">
      <c r="B96" s="176" t="s">
        <v>254</v>
      </c>
      <c r="C96" s="174" t="s">
        <v>253</v>
      </c>
      <c r="D96" s="177" t="s">
        <v>70</v>
      </c>
      <c r="E96" s="176">
        <v>17</v>
      </c>
      <c r="F96" s="175">
        <v>46.913370325000002</v>
      </c>
      <c r="G96" s="175">
        <v>14.19</v>
      </c>
      <c r="H96" s="175">
        <v>30.248000000000001</v>
      </c>
      <c r="I96" s="174">
        <f>VLOOKUP(C96,'[1]secteur privé'!$A$2:$I$218,6,0)</f>
        <v>68.591999999999999</v>
      </c>
      <c r="J96" s="173">
        <f t="shared" si="2"/>
        <v>-38.343999999999994</v>
      </c>
    </row>
    <row r="97" spans="2:10">
      <c r="B97" s="176" t="s">
        <v>252</v>
      </c>
      <c r="C97" s="174" t="s">
        <v>251</v>
      </c>
      <c r="D97" s="177" t="s">
        <v>70</v>
      </c>
      <c r="E97" s="176">
        <v>10</v>
      </c>
      <c r="F97" s="175">
        <v>46.842426549000002</v>
      </c>
      <c r="G97" s="175">
        <v>12.72</v>
      </c>
      <c r="H97" s="175">
        <v>27.152000000000001</v>
      </c>
      <c r="I97" s="174">
        <f>VLOOKUP(C97,'[1]secteur privé'!$A$2:$I$218,6,0)</f>
        <v>64.646000000000001</v>
      </c>
      <c r="J97" s="173">
        <f t="shared" si="2"/>
        <v>-37.494</v>
      </c>
    </row>
    <row r="98" spans="2:10">
      <c r="B98" s="176" t="s">
        <v>250</v>
      </c>
      <c r="C98" s="174" t="s">
        <v>249</v>
      </c>
      <c r="D98" s="177" t="s">
        <v>70</v>
      </c>
      <c r="E98" s="176">
        <v>12</v>
      </c>
      <c r="F98" s="175">
        <v>45.505486791000003</v>
      </c>
      <c r="G98" s="175">
        <v>27.83</v>
      </c>
      <c r="H98" s="175">
        <v>61.154000000000003</v>
      </c>
      <c r="I98" s="174">
        <f>VLOOKUP(C98,'[1]secteur privé'!$A$2:$I$218,6,0)</f>
        <v>74.34</v>
      </c>
      <c r="J98" s="173">
        <f t="shared" si="2"/>
        <v>-13.186</v>
      </c>
    </row>
    <row r="99" spans="2:10">
      <c r="B99" s="176" t="s">
        <v>248</v>
      </c>
      <c r="C99" s="174" t="s">
        <v>247</v>
      </c>
      <c r="D99" s="177" t="s">
        <v>70</v>
      </c>
      <c r="E99" s="176">
        <v>16</v>
      </c>
      <c r="F99" s="175">
        <v>40.837261804000001</v>
      </c>
      <c r="G99" s="175">
        <v>22.5</v>
      </c>
      <c r="H99" s="175">
        <v>55.109000000000002</v>
      </c>
      <c r="I99" s="174">
        <f>VLOOKUP(C99,'[1]secteur privé'!$A$2:$I$218,6,0)</f>
        <v>62.868000000000002</v>
      </c>
      <c r="J99" s="173">
        <f t="shared" ref="J99:J130" si="3">H99-I99</f>
        <v>-7.7590000000000003</v>
      </c>
    </row>
    <row r="100" spans="2:10">
      <c r="B100" s="176" t="s">
        <v>246</v>
      </c>
      <c r="C100" s="174" t="s">
        <v>245</v>
      </c>
      <c r="D100" s="177" t="s">
        <v>70</v>
      </c>
      <c r="E100" s="176">
        <v>12</v>
      </c>
      <c r="F100" s="175">
        <v>40.586278614999998</v>
      </c>
      <c r="G100" s="175">
        <v>13.47</v>
      </c>
      <c r="H100" s="175">
        <v>33.195999999999998</v>
      </c>
      <c r="I100" s="174">
        <f>VLOOKUP(C100,'[1]secteur privé'!$A$2:$I$218,6,0)</f>
        <v>27.591000000000001</v>
      </c>
      <c r="J100" s="173">
        <f t="shared" si="3"/>
        <v>5.6049999999999969</v>
      </c>
    </row>
    <row r="101" spans="2:10">
      <c r="B101" s="176" t="s">
        <v>244</v>
      </c>
      <c r="C101" s="174" t="s">
        <v>243</v>
      </c>
      <c r="D101" s="177" t="s">
        <v>70</v>
      </c>
      <c r="E101" s="176">
        <v>13</v>
      </c>
      <c r="F101" s="175">
        <v>40.052188457</v>
      </c>
      <c r="G101" s="175">
        <v>31.61</v>
      </c>
      <c r="H101" s="175">
        <v>78.927000000000007</v>
      </c>
      <c r="I101" s="174">
        <f>VLOOKUP(C101,'[1]secteur privé'!$A$2:$I$218,6,0)</f>
        <v>58.945</v>
      </c>
      <c r="J101" s="173">
        <f t="shared" si="3"/>
        <v>19.982000000000006</v>
      </c>
    </row>
    <row r="102" spans="2:10">
      <c r="B102" s="176" t="s">
        <v>242</v>
      </c>
      <c r="C102" s="174" t="s">
        <v>241</v>
      </c>
      <c r="D102" s="177" t="s">
        <v>70</v>
      </c>
      <c r="E102" s="176">
        <v>8</v>
      </c>
      <c r="F102" s="175">
        <v>38.841775059</v>
      </c>
      <c r="G102" s="175">
        <v>11.92</v>
      </c>
      <c r="H102" s="175">
        <v>30.69</v>
      </c>
      <c r="I102" s="174">
        <f>VLOOKUP(C102,'[1]secteur privé'!$A$2:$I$218,6,0)</f>
        <v>32.151000000000003</v>
      </c>
      <c r="J102" s="173">
        <f t="shared" si="3"/>
        <v>-1.4610000000000021</v>
      </c>
    </row>
    <row r="103" spans="2:10">
      <c r="B103" s="176" t="s">
        <v>240</v>
      </c>
      <c r="C103" s="174" t="s">
        <v>239</v>
      </c>
      <c r="D103" s="177" t="s">
        <v>70</v>
      </c>
      <c r="E103" s="176">
        <v>11</v>
      </c>
      <c r="F103" s="175">
        <v>38.256790948999999</v>
      </c>
      <c r="G103" s="175">
        <v>5.75</v>
      </c>
      <c r="H103" s="175">
        <v>15.039</v>
      </c>
      <c r="I103" s="174">
        <f>VLOOKUP(C103,'[1]secteur privé'!$A$2:$I$218,6,0)</f>
        <v>60.811</v>
      </c>
      <c r="J103" s="173">
        <f t="shared" si="3"/>
        <v>-45.771999999999998</v>
      </c>
    </row>
    <row r="104" spans="2:10">
      <c r="B104" s="176" t="s">
        <v>238</v>
      </c>
      <c r="C104" s="174" t="s">
        <v>237</v>
      </c>
      <c r="D104" s="177" t="s">
        <v>70</v>
      </c>
      <c r="E104" s="176">
        <v>4</v>
      </c>
      <c r="F104" s="175">
        <v>38.251826950999998</v>
      </c>
      <c r="G104" s="175">
        <v>16.64</v>
      </c>
      <c r="H104" s="175">
        <v>43.505000000000003</v>
      </c>
      <c r="I104" s="174">
        <f>VLOOKUP(C104,'[1]secteur privé'!$A$2:$I$218,6,0)</f>
        <v>53.076999999999998</v>
      </c>
      <c r="J104" s="173">
        <f t="shared" si="3"/>
        <v>-9.5719999999999956</v>
      </c>
    </row>
    <row r="105" spans="2:10">
      <c r="B105" s="176" t="s">
        <v>236</v>
      </c>
      <c r="C105" s="174" t="s">
        <v>235</v>
      </c>
      <c r="D105" s="177" t="s">
        <v>70</v>
      </c>
      <c r="E105" s="176">
        <v>2</v>
      </c>
      <c r="F105" s="175">
        <v>38.036539687000001</v>
      </c>
      <c r="G105" s="175">
        <v>0</v>
      </c>
      <c r="H105" s="175">
        <v>0</v>
      </c>
      <c r="I105" s="174">
        <f>VLOOKUP(C105,'[1]secteur privé'!$A$2:$I$218,6,0)</f>
        <v>39.378999999999998</v>
      </c>
      <c r="J105" s="173">
        <f t="shared" si="3"/>
        <v>-39.378999999999998</v>
      </c>
    </row>
    <row r="106" spans="2:10">
      <c r="B106" s="176" t="s">
        <v>234</v>
      </c>
      <c r="C106" s="174" t="s">
        <v>233</v>
      </c>
      <c r="D106" s="177" t="s">
        <v>70</v>
      </c>
      <c r="E106" s="176">
        <v>13</v>
      </c>
      <c r="F106" s="175">
        <v>37.813389974000003</v>
      </c>
      <c r="G106" s="175">
        <v>27.84</v>
      </c>
      <c r="H106" s="175">
        <v>73.626000000000005</v>
      </c>
      <c r="I106" s="174">
        <f>VLOOKUP(C106,'[1]secteur privé'!$A$2:$I$218,6,0)</f>
        <v>69.081999999999994</v>
      </c>
      <c r="J106" s="173">
        <f t="shared" si="3"/>
        <v>4.5440000000000111</v>
      </c>
    </row>
    <row r="107" spans="2:10">
      <c r="B107" s="176" t="s">
        <v>232</v>
      </c>
      <c r="C107" s="174" t="s">
        <v>231</v>
      </c>
      <c r="D107" s="177" t="s">
        <v>70</v>
      </c>
      <c r="E107" s="176">
        <v>15</v>
      </c>
      <c r="F107" s="175">
        <v>37.705420164000003</v>
      </c>
      <c r="G107" s="175">
        <v>20.51</v>
      </c>
      <c r="H107" s="175">
        <v>54.402999999999999</v>
      </c>
      <c r="I107" s="174">
        <f>VLOOKUP(C107,'[1]secteur privé'!$A$2:$I$218,6,0)</f>
        <v>59.83</v>
      </c>
      <c r="J107" s="173">
        <f t="shared" si="3"/>
        <v>-5.4269999999999996</v>
      </c>
    </row>
    <row r="108" spans="2:10">
      <c r="B108" s="176" t="s">
        <v>230</v>
      </c>
      <c r="C108" s="174" t="s">
        <v>229</v>
      </c>
      <c r="D108" s="177" t="s">
        <v>70</v>
      </c>
      <c r="E108" s="176">
        <v>14</v>
      </c>
      <c r="F108" s="175">
        <v>37.362242424000002</v>
      </c>
      <c r="G108" s="175">
        <v>20.51</v>
      </c>
      <c r="H108" s="175">
        <v>54.906999999999996</v>
      </c>
      <c r="I108" s="174">
        <f>VLOOKUP(C108,'[1]secteur privé'!$A$2:$I$218,6,0)</f>
        <v>66.097999999999999</v>
      </c>
      <c r="J108" s="173">
        <f t="shared" si="3"/>
        <v>-11.191000000000003</v>
      </c>
    </row>
    <row r="109" spans="2:10">
      <c r="B109" s="176" t="s">
        <v>228</v>
      </c>
      <c r="C109" s="174" t="s">
        <v>227</v>
      </c>
      <c r="D109" s="177" t="s">
        <v>70</v>
      </c>
      <c r="E109" s="176">
        <v>4</v>
      </c>
      <c r="F109" s="175">
        <v>36.142443565000001</v>
      </c>
      <c r="G109" s="175">
        <v>4.05</v>
      </c>
      <c r="H109" s="175">
        <v>11.204000000000001</v>
      </c>
      <c r="I109" s="174">
        <f>VLOOKUP(C109,'[1]secteur privé'!$A$2:$I$218,6,0)</f>
        <v>55.027999999999999</v>
      </c>
      <c r="J109" s="173">
        <f t="shared" si="3"/>
        <v>-43.823999999999998</v>
      </c>
    </row>
    <row r="110" spans="2:10">
      <c r="B110" s="176" t="s">
        <v>226</v>
      </c>
      <c r="C110" s="174" t="s">
        <v>225</v>
      </c>
      <c r="D110" s="177" t="s">
        <v>70</v>
      </c>
      <c r="E110" s="176">
        <v>13</v>
      </c>
      <c r="F110" s="175">
        <v>35.320422241999999</v>
      </c>
      <c r="G110" s="175">
        <v>17.79</v>
      </c>
      <c r="H110" s="175">
        <v>50.377000000000002</v>
      </c>
      <c r="I110" s="174">
        <f>VLOOKUP(C110,'[1]secteur privé'!$A$2:$I$218,6,0)</f>
        <v>58.701000000000001</v>
      </c>
      <c r="J110" s="173">
        <f t="shared" si="3"/>
        <v>-8.3239999999999981</v>
      </c>
    </row>
    <row r="111" spans="2:10">
      <c r="B111" s="176" t="s">
        <v>224</v>
      </c>
      <c r="C111" s="174" t="s">
        <v>223</v>
      </c>
      <c r="D111" s="177" t="s">
        <v>70</v>
      </c>
      <c r="E111" s="176">
        <v>11</v>
      </c>
      <c r="F111" s="175">
        <v>33.424290456999998</v>
      </c>
      <c r="G111" s="175">
        <v>31.72</v>
      </c>
      <c r="H111" s="175">
        <v>94.89</v>
      </c>
      <c r="I111" s="174">
        <f>VLOOKUP(C111,'[1]secteur privé'!$A$2:$I$218,6,0)</f>
        <v>77.091999999999999</v>
      </c>
      <c r="J111" s="173">
        <f t="shared" si="3"/>
        <v>17.798000000000002</v>
      </c>
    </row>
    <row r="112" spans="2:10">
      <c r="B112" s="176" t="s">
        <v>222</v>
      </c>
      <c r="C112" s="174" t="s">
        <v>221</v>
      </c>
      <c r="D112" s="177" t="s">
        <v>70</v>
      </c>
      <c r="E112" s="176">
        <v>7</v>
      </c>
      <c r="F112" s="175">
        <v>33.333149788999997</v>
      </c>
      <c r="G112" s="175">
        <v>20.03</v>
      </c>
      <c r="H112" s="175">
        <v>60.09</v>
      </c>
      <c r="I112" s="174">
        <f>VLOOKUP(C112,'[1]secteur privé'!$A$2:$I$218,6,0)</f>
        <v>71.253</v>
      </c>
      <c r="J112" s="173">
        <f t="shared" si="3"/>
        <v>-11.162999999999997</v>
      </c>
    </row>
    <row r="113" spans="2:10">
      <c r="B113" s="176" t="s">
        <v>220</v>
      </c>
      <c r="C113" s="174" t="s">
        <v>219</v>
      </c>
      <c r="D113" s="177" t="s">
        <v>70</v>
      </c>
      <c r="E113" s="176">
        <v>12</v>
      </c>
      <c r="F113" s="175">
        <v>32.320051540999998</v>
      </c>
      <c r="G113" s="175">
        <v>9.5299999999999994</v>
      </c>
      <c r="H113" s="175">
        <v>29.471</v>
      </c>
      <c r="I113" s="174">
        <f>VLOOKUP(C113,'[1]secteur privé'!$A$2:$I$218,6,0)</f>
        <v>50.064</v>
      </c>
      <c r="J113" s="173">
        <f t="shared" si="3"/>
        <v>-20.593</v>
      </c>
    </row>
    <row r="114" spans="2:10">
      <c r="B114" s="176" t="s">
        <v>218</v>
      </c>
      <c r="C114" s="174" t="s">
        <v>217</v>
      </c>
      <c r="D114" s="177" t="s">
        <v>70</v>
      </c>
      <c r="E114" s="176">
        <v>5</v>
      </c>
      <c r="F114" s="175">
        <v>29.956199931</v>
      </c>
      <c r="G114" s="175">
        <v>15</v>
      </c>
      <c r="H114" s="175">
        <v>50.073</v>
      </c>
      <c r="I114" s="174">
        <f>VLOOKUP(C114,'[1]secteur privé'!$A$2:$I$218,6,0)</f>
        <v>35.234000000000002</v>
      </c>
      <c r="J114" s="173">
        <f t="shared" si="3"/>
        <v>14.838999999999999</v>
      </c>
    </row>
    <row r="115" spans="2:10">
      <c r="B115" s="176" t="s">
        <v>216</v>
      </c>
      <c r="C115" s="174" t="s">
        <v>215</v>
      </c>
      <c r="D115" s="177" t="s">
        <v>70</v>
      </c>
      <c r="E115" s="176">
        <v>9</v>
      </c>
      <c r="F115" s="175">
        <v>27.662587252000002</v>
      </c>
      <c r="G115" s="175">
        <v>13.37</v>
      </c>
      <c r="H115" s="175">
        <v>48.32</v>
      </c>
      <c r="I115" s="174">
        <f>VLOOKUP(C115,'[1]secteur privé'!$A$2:$I$218,6,0)</f>
        <v>44.061999999999998</v>
      </c>
      <c r="J115" s="173">
        <f t="shared" si="3"/>
        <v>4.2580000000000027</v>
      </c>
    </row>
    <row r="116" spans="2:10">
      <c r="B116" s="176" t="s">
        <v>214</v>
      </c>
      <c r="C116" s="174" t="s">
        <v>213</v>
      </c>
      <c r="D116" s="177" t="s">
        <v>70</v>
      </c>
      <c r="E116" s="176">
        <v>1</v>
      </c>
      <c r="F116" s="175">
        <v>27.279852139999999</v>
      </c>
      <c r="G116" s="175">
        <v>27.28</v>
      </c>
      <c r="H116" s="175">
        <v>100</v>
      </c>
      <c r="I116" s="174">
        <f>VLOOKUP(C116,'[1]secteur privé'!$A$2:$I$218,6,0)</f>
        <v>71.334000000000003</v>
      </c>
      <c r="J116" s="173">
        <f t="shared" si="3"/>
        <v>28.665999999999997</v>
      </c>
    </row>
    <row r="117" spans="2:10">
      <c r="B117" s="176" t="s">
        <v>212</v>
      </c>
      <c r="C117" s="174" t="s">
        <v>211</v>
      </c>
      <c r="D117" s="177" t="s">
        <v>70</v>
      </c>
      <c r="E117" s="176">
        <v>8</v>
      </c>
      <c r="F117" s="175">
        <v>26.36761478</v>
      </c>
      <c r="G117" s="175">
        <v>0</v>
      </c>
      <c r="H117" s="175">
        <v>0</v>
      </c>
      <c r="I117" s="174">
        <f>VLOOKUP(C117,'[1]secteur privé'!$A$2:$I$218,6,0)</f>
        <v>51.09</v>
      </c>
      <c r="J117" s="173">
        <f t="shared" si="3"/>
        <v>-51.09</v>
      </c>
    </row>
    <row r="118" spans="2:10">
      <c r="B118" s="176" t="s">
        <v>210</v>
      </c>
      <c r="C118" s="174" t="s">
        <v>209</v>
      </c>
      <c r="D118" s="177" t="s">
        <v>70</v>
      </c>
      <c r="E118" s="176">
        <v>9</v>
      </c>
      <c r="F118" s="175">
        <v>25.022625768000001</v>
      </c>
      <c r="G118" s="175">
        <v>17.54</v>
      </c>
      <c r="H118" s="175">
        <v>70.09</v>
      </c>
      <c r="I118" s="174">
        <f>VLOOKUP(C118,'[1]secteur privé'!$A$2:$I$218,6,0)</f>
        <v>69.402000000000001</v>
      </c>
      <c r="J118" s="173">
        <f t="shared" si="3"/>
        <v>0.68800000000000239</v>
      </c>
    </row>
    <row r="119" spans="2:10">
      <c r="B119" s="176" t="s">
        <v>208</v>
      </c>
      <c r="C119" s="174" t="s">
        <v>207</v>
      </c>
      <c r="D119" s="177" t="s">
        <v>70</v>
      </c>
      <c r="E119" s="176">
        <v>6</v>
      </c>
      <c r="F119" s="175">
        <v>24.538492860000002</v>
      </c>
      <c r="G119" s="175">
        <v>22.16</v>
      </c>
      <c r="H119" s="175">
        <v>90.296999999999997</v>
      </c>
      <c r="I119" s="174">
        <f>VLOOKUP(C119,'[1]secteur privé'!$A$2:$I$218,6,0)</f>
        <v>88.38</v>
      </c>
      <c r="J119" s="173">
        <f t="shared" si="3"/>
        <v>1.9170000000000016</v>
      </c>
    </row>
    <row r="120" spans="2:10">
      <c r="B120" s="176" t="s">
        <v>206</v>
      </c>
      <c r="C120" s="174" t="s">
        <v>205</v>
      </c>
      <c r="D120" s="177" t="s">
        <v>70</v>
      </c>
      <c r="E120" s="176">
        <v>1</v>
      </c>
      <c r="F120" s="175">
        <v>23.544346065999999</v>
      </c>
      <c r="G120" s="175">
        <v>0</v>
      </c>
      <c r="H120" s="175">
        <v>0</v>
      </c>
      <c r="I120" s="174">
        <f>VLOOKUP(C120,'[1]secteur privé'!$A$2:$I$218,6,0)</f>
        <v>59.454000000000001</v>
      </c>
      <c r="J120" s="173">
        <f t="shared" si="3"/>
        <v>-59.454000000000001</v>
      </c>
    </row>
    <row r="121" spans="2:10">
      <c r="B121" s="176" t="s">
        <v>204</v>
      </c>
      <c r="C121" s="174" t="s">
        <v>203</v>
      </c>
      <c r="D121" s="177" t="s">
        <v>70</v>
      </c>
      <c r="E121" s="176">
        <v>7</v>
      </c>
      <c r="F121" s="175">
        <v>23.376614518</v>
      </c>
      <c r="G121" s="175">
        <v>12.61</v>
      </c>
      <c r="H121" s="175">
        <v>53.923000000000002</v>
      </c>
      <c r="I121" s="174">
        <f>VLOOKUP(C121,'[1]secteur privé'!$A$2:$I$218,6,0)</f>
        <v>51.691000000000003</v>
      </c>
      <c r="J121" s="173">
        <f t="shared" si="3"/>
        <v>2.2319999999999993</v>
      </c>
    </row>
    <row r="122" spans="2:10">
      <c r="B122" s="176" t="s">
        <v>202</v>
      </c>
      <c r="C122" s="174" t="s">
        <v>201</v>
      </c>
      <c r="D122" s="177" t="s">
        <v>70</v>
      </c>
      <c r="E122" s="176">
        <v>6</v>
      </c>
      <c r="F122" s="175">
        <v>22.37364741</v>
      </c>
      <c r="G122" s="175">
        <v>8.5399999999999991</v>
      </c>
      <c r="H122" s="175">
        <v>38.155999999999999</v>
      </c>
      <c r="I122" s="174">
        <f>VLOOKUP(C122,'[1]secteur privé'!$A$2:$I$218,6,0)</f>
        <v>82.772000000000006</v>
      </c>
      <c r="J122" s="173">
        <f t="shared" si="3"/>
        <v>-44.616000000000007</v>
      </c>
    </row>
    <row r="123" spans="2:10">
      <c r="B123" s="176" t="s">
        <v>200</v>
      </c>
      <c r="C123" s="174" t="s">
        <v>199</v>
      </c>
      <c r="D123" s="177" t="s">
        <v>70</v>
      </c>
      <c r="E123" s="176">
        <v>9</v>
      </c>
      <c r="F123" s="175">
        <v>22.101404420000001</v>
      </c>
      <c r="G123" s="175">
        <v>12.9</v>
      </c>
      <c r="H123" s="175">
        <v>58.383000000000003</v>
      </c>
      <c r="I123" s="174">
        <f>VLOOKUP(C123,'[1]secteur privé'!$A$2:$I$218,6,0)</f>
        <v>64.200999999999993</v>
      </c>
      <c r="J123" s="173">
        <f t="shared" si="3"/>
        <v>-5.8179999999999907</v>
      </c>
    </row>
    <row r="124" spans="2:10">
      <c r="B124" s="176" t="s">
        <v>198</v>
      </c>
      <c r="C124" s="174" t="s">
        <v>197</v>
      </c>
      <c r="D124" s="177" t="s">
        <v>70</v>
      </c>
      <c r="E124" s="176">
        <v>3</v>
      </c>
      <c r="F124" s="175">
        <v>21.700102602000001</v>
      </c>
      <c r="G124" s="175">
        <v>2.73</v>
      </c>
      <c r="H124" s="175">
        <v>12.597</v>
      </c>
      <c r="I124" s="174">
        <f>VLOOKUP(C124,'[1]secteur privé'!$A$2:$I$218,6,0)</f>
        <v>59.429000000000002</v>
      </c>
      <c r="J124" s="173">
        <f t="shared" si="3"/>
        <v>-46.832000000000001</v>
      </c>
    </row>
    <row r="125" spans="2:10">
      <c r="B125" s="176" t="s">
        <v>196</v>
      </c>
      <c r="C125" s="174" t="s">
        <v>195</v>
      </c>
      <c r="D125" s="177" t="s">
        <v>70</v>
      </c>
      <c r="E125" s="176">
        <v>4</v>
      </c>
      <c r="F125" s="175">
        <v>21.410009779999999</v>
      </c>
      <c r="G125" s="175">
        <v>18.62</v>
      </c>
      <c r="H125" s="175">
        <v>86.945999999999998</v>
      </c>
      <c r="I125" s="174">
        <f>VLOOKUP(C125,'[1]secteur privé'!$A$2:$I$218,6,0)</f>
        <v>70.364999999999995</v>
      </c>
      <c r="J125" s="173">
        <f t="shared" si="3"/>
        <v>16.581000000000003</v>
      </c>
    </row>
    <row r="126" spans="2:10">
      <c r="B126" s="176" t="s">
        <v>194</v>
      </c>
      <c r="C126" s="174" t="s">
        <v>193</v>
      </c>
      <c r="D126" s="177" t="s">
        <v>70</v>
      </c>
      <c r="E126" s="176">
        <v>4</v>
      </c>
      <c r="F126" s="175">
        <v>19.860613506</v>
      </c>
      <c r="G126" s="175">
        <v>18.78</v>
      </c>
      <c r="H126" s="175">
        <v>94.534000000000006</v>
      </c>
      <c r="I126" s="174">
        <f>VLOOKUP(C126,'[1]secteur privé'!$A$2:$I$218,6,0)</f>
        <v>59.661999999999999</v>
      </c>
      <c r="J126" s="173">
        <f t="shared" si="3"/>
        <v>34.872000000000007</v>
      </c>
    </row>
    <row r="127" spans="2:10">
      <c r="B127" s="176" t="s">
        <v>192</v>
      </c>
      <c r="C127" s="174" t="s">
        <v>191</v>
      </c>
      <c r="D127" s="177" t="s">
        <v>70</v>
      </c>
      <c r="E127" s="176">
        <v>5</v>
      </c>
      <c r="F127" s="175">
        <v>19.356002843999999</v>
      </c>
      <c r="G127" s="175">
        <v>13.55</v>
      </c>
      <c r="H127" s="175">
        <v>69.995999999999995</v>
      </c>
      <c r="I127" s="174">
        <f>VLOOKUP(C127,'[1]secteur privé'!$A$2:$I$218,6,0)</f>
        <v>83.611000000000004</v>
      </c>
      <c r="J127" s="173">
        <f t="shared" si="3"/>
        <v>-13.615000000000009</v>
      </c>
    </row>
    <row r="128" spans="2:10">
      <c r="B128" s="176" t="s">
        <v>190</v>
      </c>
      <c r="C128" s="174" t="s">
        <v>189</v>
      </c>
      <c r="D128" s="177" t="s">
        <v>70</v>
      </c>
      <c r="E128" s="176">
        <v>10</v>
      </c>
      <c r="F128" s="175">
        <v>19.169360245</v>
      </c>
      <c r="G128" s="175">
        <v>9.2899999999999991</v>
      </c>
      <c r="H128" s="175">
        <v>48.463999999999999</v>
      </c>
      <c r="I128" s="174">
        <f>VLOOKUP(C128,'[1]secteur privé'!$A$2:$I$218,6,0)</f>
        <v>43.488</v>
      </c>
      <c r="J128" s="173">
        <f t="shared" si="3"/>
        <v>4.9759999999999991</v>
      </c>
    </row>
    <row r="129" spans="2:10">
      <c r="B129" s="176" t="s">
        <v>188</v>
      </c>
      <c r="C129" s="174" t="s">
        <v>187</v>
      </c>
      <c r="D129" s="177" t="s">
        <v>70</v>
      </c>
      <c r="E129" s="176">
        <v>4</v>
      </c>
      <c r="F129" s="175">
        <v>19.024169342</v>
      </c>
      <c r="G129" s="175">
        <v>0</v>
      </c>
      <c r="H129" s="175">
        <v>0</v>
      </c>
      <c r="I129" s="174">
        <f>VLOOKUP(C129,'[1]secteur privé'!$A$2:$I$218,6,0)</f>
        <v>32.597999999999999</v>
      </c>
      <c r="J129" s="173">
        <f t="shared" si="3"/>
        <v>-32.597999999999999</v>
      </c>
    </row>
    <row r="130" spans="2:10">
      <c r="B130" s="176" t="s">
        <v>186</v>
      </c>
      <c r="C130" s="174" t="s">
        <v>185</v>
      </c>
      <c r="D130" s="177" t="s">
        <v>70</v>
      </c>
      <c r="E130" s="176">
        <v>5</v>
      </c>
      <c r="F130" s="175">
        <v>18.365006859000001</v>
      </c>
      <c r="G130" s="175">
        <v>18.37</v>
      </c>
      <c r="H130" s="175">
        <v>100</v>
      </c>
      <c r="I130" s="174">
        <f>VLOOKUP(C130,'[1]secteur privé'!$A$2:$I$218,6,0)</f>
        <v>83.01</v>
      </c>
      <c r="J130" s="173">
        <f t="shared" si="3"/>
        <v>16.989999999999995</v>
      </c>
    </row>
    <row r="131" spans="2:10">
      <c r="B131" s="176" t="s">
        <v>184</v>
      </c>
      <c r="C131" s="174" t="s">
        <v>183</v>
      </c>
      <c r="D131" s="177" t="s">
        <v>70</v>
      </c>
      <c r="E131" s="176">
        <v>4</v>
      </c>
      <c r="F131" s="175">
        <v>18.176463521999999</v>
      </c>
      <c r="G131" s="175">
        <v>5.93</v>
      </c>
      <c r="H131" s="175">
        <v>32.606999999999999</v>
      </c>
      <c r="I131" s="174">
        <f>VLOOKUP(C131,'[1]secteur privé'!$A$2:$I$218,6,0)</f>
        <v>67.591999999999999</v>
      </c>
      <c r="J131" s="173">
        <f t="shared" ref="J131:J162" si="4">H131-I131</f>
        <v>-34.984999999999999</v>
      </c>
    </row>
    <row r="132" spans="2:10">
      <c r="B132" s="176" t="s">
        <v>182</v>
      </c>
      <c r="C132" s="174" t="s">
        <v>181</v>
      </c>
      <c r="D132" s="177" t="s">
        <v>70</v>
      </c>
      <c r="E132" s="176">
        <v>2</v>
      </c>
      <c r="F132" s="175">
        <v>18.017825195</v>
      </c>
      <c r="G132" s="175">
        <v>10</v>
      </c>
      <c r="H132" s="175">
        <v>55.500999999999998</v>
      </c>
      <c r="I132" s="174">
        <f>VLOOKUP(C132,'[1]secteur privé'!$A$2:$I$218,6,0)</f>
        <v>80.584999999999994</v>
      </c>
      <c r="J132" s="173">
        <f t="shared" si="4"/>
        <v>-25.083999999999996</v>
      </c>
    </row>
    <row r="133" spans="2:10">
      <c r="B133" s="176" t="s">
        <v>180</v>
      </c>
      <c r="C133" s="174" t="s">
        <v>179</v>
      </c>
      <c r="D133" s="177" t="s">
        <v>70</v>
      </c>
      <c r="E133" s="176">
        <v>6</v>
      </c>
      <c r="F133" s="175">
        <v>17.630435187</v>
      </c>
      <c r="G133" s="175">
        <v>17.63</v>
      </c>
      <c r="H133" s="175">
        <v>100</v>
      </c>
      <c r="I133" s="174">
        <f>VLOOKUP(C133,'[1]secteur privé'!$A$2:$I$218,6,0)</f>
        <v>66.275000000000006</v>
      </c>
      <c r="J133" s="173">
        <f t="shared" si="4"/>
        <v>33.724999999999994</v>
      </c>
    </row>
    <row r="134" spans="2:10">
      <c r="B134" s="176" t="s">
        <v>178</v>
      </c>
      <c r="C134" s="174" t="s">
        <v>177</v>
      </c>
      <c r="D134" s="177" t="s">
        <v>70</v>
      </c>
      <c r="E134" s="176">
        <v>3</v>
      </c>
      <c r="F134" s="175">
        <v>17.465591333999999</v>
      </c>
      <c r="G134" s="175">
        <v>16.47</v>
      </c>
      <c r="H134" s="175">
        <v>94.274000000000001</v>
      </c>
      <c r="I134" s="174">
        <f>VLOOKUP(C134,'[1]secteur privé'!$A$2:$I$218,6,0)</f>
        <v>79.623999999999995</v>
      </c>
      <c r="J134" s="173">
        <f t="shared" si="4"/>
        <v>14.650000000000006</v>
      </c>
    </row>
    <row r="135" spans="2:10">
      <c r="B135" s="176" t="s">
        <v>176</v>
      </c>
      <c r="C135" s="174" t="s">
        <v>175</v>
      </c>
      <c r="D135" s="177" t="s">
        <v>70</v>
      </c>
      <c r="E135" s="176">
        <v>5</v>
      </c>
      <c r="F135" s="175">
        <v>17.247890658999999</v>
      </c>
      <c r="G135" s="175">
        <v>3.48</v>
      </c>
      <c r="H135" s="175">
        <v>20.181000000000001</v>
      </c>
      <c r="I135" s="174">
        <f>VLOOKUP(C135,'[1]secteur privé'!$A$2:$I$218,6,0)</f>
        <v>51.722000000000001</v>
      </c>
      <c r="J135" s="173">
        <f t="shared" si="4"/>
        <v>-31.541</v>
      </c>
    </row>
    <row r="136" spans="2:10">
      <c r="B136" s="176" t="s">
        <v>174</v>
      </c>
      <c r="C136" s="174" t="s">
        <v>173</v>
      </c>
      <c r="D136" s="177" t="s">
        <v>70</v>
      </c>
      <c r="E136" s="176">
        <v>5</v>
      </c>
      <c r="F136" s="175">
        <v>17.154010166999999</v>
      </c>
      <c r="G136" s="175">
        <v>2.34</v>
      </c>
      <c r="H136" s="175">
        <v>13.654</v>
      </c>
      <c r="I136" s="174">
        <f>VLOOKUP(C136,'[1]secteur privé'!$A$2:$I$218,6,0)</f>
        <v>57.253999999999998</v>
      </c>
      <c r="J136" s="173">
        <f t="shared" si="4"/>
        <v>-43.599999999999994</v>
      </c>
    </row>
    <row r="137" spans="2:10">
      <c r="B137" s="176" t="s">
        <v>172</v>
      </c>
      <c r="C137" s="174" t="s">
        <v>171</v>
      </c>
      <c r="D137" s="177" t="s">
        <v>70</v>
      </c>
      <c r="E137" s="176">
        <v>5</v>
      </c>
      <c r="F137" s="175">
        <v>16.661818421</v>
      </c>
      <c r="G137" s="175">
        <v>4.2300000000000004</v>
      </c>
      <c r="H137" s="175">
        <v>25.387</v>
      </c>
      <c r="I137" s="174">
        <f>VLOOKUP(C137,'[1]secteur privé'!$A$2:$I$218,6,0)</f>
        <v>31.49</v>
      </c>
      <c r="J137" s="173">
        <f t="shared" si="4"/>
        <v>-6.102999999999998</v>
      </c>
    </row>
    <row r="138" spans="2:10">
      <c r="B138" s="176" t="s">
        <v>170</v>
      </c>
      <c r="C138" s="174" t="s">
        <v>169</v>
      </c>
      <c r="D138" s="177" t="s">
        <v>70</v>
      </c>
      <c r="E138" s="176">
        <v>8</v>
      </c>
      <c r="F138" s="175">
        <v>16.481245832999999</v>
      </c>
      <c r="G138" s="175">
        <v>7.52</v>
      </c>
      <c r="H138" s="175">
        <v>45.646000000000001</v>
      </c>
      <c r="I138" s="174">
        <f>VLOOKUP(C138,'[1]secteur privé'!$A$2:$I$218,6,0)</f>
        <v>24.625</v>
      </c>
      <c r="J138" s="173">
        <f t="shared" si="4"/>
        <v>21.021000000000001</v>
      </c>
    </row>
    <row r="139" spans="2:10">
      <c r="B139" s="176" t="s">
        <v>168</v>
      </c>
      <c r="C139" s="174" t="s">
        <v>167</v>
      </c>
      <c r="D139" s="177" t="s">
        <v>70</v>
      </c>
      <c r="E139" s="176">
        <v>5</v>
      </c>
      <c r="F139" s="175">
        <v>14.926582171</v>
      </c>
      <c r="G139" s="175">
        <v>10.27</v>
      </c>
      <c r="H139" s="175">
        <v>68.784000000000006</v>
      </c>
      <c r="I139" s="174">
        <f>VLOOKUP(C139,'[1]secteur privé'!$A$2:$I$218,6,0)</f>
        <v>19.867999999999999</v>
      </c>
      <c r="J139" s="173">
        <f t="shared" si="4"/>
        <v>48.916000000000011</v>
      </c>
    </row>
    <row r="140" spans="2:10">
      <c r="B140" s="176" t="s">
        <v>166</v>
      </c>
      <c r="C140" s="174" t="s">
        <v>165</v>
      </c>
      <c r="D140" s="177" t="s">
        <v>70</v>
      </c>
      <c r="E140" s="176">
        <v>3</v>
      </c>
      <c r="F140" s="175">
        <v>14.607287926</v>
      </c>
      <c r="G140" s="175">
        <v>0</v>
      </c>
      <c r="H140" s="175">
        <v>0</v>
      </c>
      <c r="I140" s="174">
        <f>VLOOKUP(C140,'[1]secteur privé'!$A$2:$I$218,6,0)</f>
        <v>70.545000000000002</v>
      </c>
      <c r="J140" s="173">
        <f t="shared" si="4"/>
        <v>-70.545000000000002</v>
      </c>
    </row>
    <row r="141" spans="2:10">
      <c r="B141" s="176" t="s">
        <v>164</v>
      </c>
      <c r="C141" s="174" t="s">
        <v>163</v>
      </c>
      <c r="D141" s="177" t="s">
        <v>70</v>
      </c>
      <c r="E141" s="176">
        <v>5</v>
      </c>
      <c r="F141" s="175">
        <v>14.297692333000001</v>
      </c>
      <c r="G141" s="175">
        <v>6.6</v>
      </c>
      <c r="H141" s="175">
        <v>46.128999999999998</v>
      </c>
      <c r="I141" s="174">
        <f>VLOOKUP(C141,'[1]secteur privé'!$A$2:$I$218,6,0)</f>
        <v>78.923000000000002</v>
      </c>
      <c r="J141" s="173">
        <f t="shared" si="4"/>
        <v>-32.794000000000004</v>
      </c>
    </row>
    <row r="142" spans="2:10">
      <c r="B142" s="176" t="s">
        <v>162</v>
      </c>
      <c r="C142" s="174" t="s">
        <v>161</v>
      </c>
      <c r="D142" s="177" t="s">
        <v>70</v>
      </c>
      <c r="E142" s="176">
        <v>2</v>
      </c>
      <c r="F142" s="175">
        <v>13.730103611000001</v>
      </c>
      <c r="G142" s="175">
        <v>1.73</v>
      </c>
      <c r="H142" s="175">
        <v>12.601000000000001</v>
      </c>
      <c r="I142" s="174">
        <f>VLOOKUP(C142,'[1]secteur privé'!$A$2:$I$218,6,0)</f>
        <v>48.186</v>
      </c>
      <c r="J142" s="173">
        <f t="shared" si="4"/>
        <v>-35.585000000000001</v>
      </c>
    </row>
    <row r="143" spans="2:10">
      <c r="B143" s="176" t="s">
        <v>160</v>
      </c>
      <c r="C143" s="174" t="s">
        <v>159</v>
      </c>
      <c r="D143" s="177" t="s">
        <v>70</v>
      </c>
      <c r="E143" s="176">
        <v>5</v>
      </c>
      <c r="F143" s="175">
        <v>13.45554093</v>
      </c>
      <c r="G143" s="175">
        <v>2</v>
      </c>
      <c r="H143" s="175">
        <v>14.864000000000001</v>
      </c>
      <c r="I143" s="174">
        <f>VLOOKUP(C143,'[1]secteur privé'!$A$2:$I$218,6,0)</f>
        <v>57.81</v>
      </c>
      <c r="J143" s="173">
        <f t="shared" si="4"/>
        <v>-42.945999999999998</v>
      </c>
    </row>
    <row r="144" spans="2:10">
      <c r="B144" s="176" t="s">
        <v>158</v>
      </c>
      <c r="C144" s="174" t="s">
        <v>157</v>
      </c>
      <c r="D144" s="177" t="s">
        <v>70</v>
      </c>
      <c r="E144" s="176">
        <v>4</v>
      </c>
      <c r="F144" s="175">
        <v>12.904549400000001</v>
      </c>
      <c r="G144" s="175">
        <v>3.19</v>
      </c>
      <c r="H144" s="175">
        <v>24.704000000000001</v>
      </c>
      <c r="I144" s="174">
        <f>VLOOKUP(C144,'[1]secteur privé'!$A$2:$I$218,6,0)</f>
        <v>37.668999999999997</v>
      </c>
      <c r="J144" s="173">
        <f t="shared" si="4"/>
        <v>-12.964999999999996</v>
      </c>
    </row>
    <row r="145" spans="2:10">
      <c r="B145" s="176" t="s">
        <v>156</v>
      </c>
      <c r="C145" s="174" t="s">
        <v>155</v>
      </c>
      <c r="D145" s="177" t="s">
        <v>70</v>
      </c>
      <c r="E145" s="176">
        <v>5</v>
      </c>
      <c r="F145" s="175">
        <v>11.587074617000001</v>
      </c>
      <c r="G145" s="175">
        <v>5.39</v>
      </c>
      <c r="H145" s="175">
        <v>46.542999999999999</v>
      </c>
      <c r="I145" s="174">
        <f>VLOOKUP(C145,'[1]secteur privé'!$A$2:$I$218,6,0)</f>
        <v>47.994999999999997</v>
      </c>
      <c r="J145" s="173">
        <f t="shared" si="4"/>
        <v>-1.4519999999999982</v>
      </c>
    </row>
    <row r="146" spans="2:10">
      <c r="B146" s="176" t="s">
        <v>154</v>
      </c>
      <c r="C146" s="174" t="s">
        <v>153</v>
      </c>
      <c r="D146" s="177" t="s">
        <v>70</v>
      </c>
      <c r="E146" s="176">
        <v>2</v>
      </c>
      <c r="F146" s="175">
        <v>10.521423821000001</v>
      </c>
      <c r="G146" s="175">
        <v>6</v>
      </c>
      <c r="H146" s="175">
        <v>57.027000000000001</v>
      </c>
      <c r="I146" s="174">
        <f>VLOOKUP(C146,'[1]secteur privé'!$A$2:$I$218,6,0)</f>
        <v>44.246000000000002</v>
      </c>
      <c r="J146" s="173">
        <f t="shared" si="4"/>
        <v>12.780999999999999</v>
      </c>
    </row>
    <row r="147" spans="2:10">
      <c r="B147" s="176" t="s">
        <v>152</v>
      </c>
      <c r="C147" s="174" t="s">
        <v>151</v>
      </c>
      <c r="D147" s="177" t="s">
        <v>70</v>
      </c>
      <c r="E147" s="176">
        <v>4</v>
      </c>
      <c r="F147" s="175">
        <v>9.5255905532000007</v>
      </c>
      <c r="G147" s="175">
        <v>3</v>
      </c>
      <c r="H147" s="175">
        <v>31.494</v>
      </c>
      <c r="I147" s="174">
        <f>VLOOKUP(C147,'[1]secteur privé'!$A$2:$I$218,6,0)</f>
        <v>58.811</v>
      </c>
      <c r="J147" s="173">
        <f t="shared" si="4"/>
        <v>-27.317</v>
      </c>
    </row>
    <row r="148" spans="2:10">
      <c r="B148" s="176" t="s">
        <v>150</v>
      </c>
      <c r="C148" s="174" t="s">
        <v>149</v>
      </c>
      <c r="D148" s="177" t="s">
        <v>70</v>
      </c>
      <c r="E148" s="176">
        <v>4</v>
      </c>
      <c r="F148" s="175">
        <v>9.5074123404000002</v>
      </c>
      <c r="G148" s="175">
        <v>2.02</v>
      </c>
      <c r="H148" s="175">
        <v>21.204999999999998</v>
      </c>
      <c r="I148" s="174">
        <f>VLOOKUP(C148,'[1]secteur privé'!$A$2:$I$218,6,0)</f>
        <v>65.576999999999998</v>
      </c>
      <c r="J148" s="173">
        <f t="shared" si="4"/>
        <v>-44.372</v>
      </c>
    </row>
    <row r="149" spans="2:10">
      <c r="B149" s="176" t="s">
        <v>148</v>
      </c>
      <c r="C149" s="174" t="s">
        <v>147</v>
      </c>
      <c r="D149" s="177" t="s">
        <v>70</v>
      </c>
      <c r="E149" s="176">
        <v>2</v>
      </c>
      <c r="F149" s="175">
        <v>9.0515560414999996</v>
      </c>
      <c r="G149" s="175">
        <v>2.3199999999999998</v>
      </c>
      <c r="H149" s="175">
        <v>25.585000000000001</v>
      </c>
      <c r="I149" s="174">
        <f>VLOOKUP(C149,'[1]secteur privé'!$A$2:$I$218,6,0)</f>
        <v>83.278000000000006</v>
      </c>
      <c r="J149" s="173">
        <f t="shared" si="4"/>
        <v>-57.693000000000005</v>
      </c>
    </row>
    <row r="150" spans="2:10">
      <c r="B150" s="176" t="s">
        <v>146</v>
      </c>
      <c r="C150" s="174" t="s">
        <v>145</v>
      </c>
      <c r="D150" s="177" t="s">
        <v>70</v>
      </c>
      <c r="E150" s="176">
        <v>1</v>
      </c>
      <c r="F150" s="175">
        <v>8.8384472661999993</v>
      </c>
      <c r="G150" s="175">
        <v>0</v>
      </c>
      <c r="H150" s="175">
        <v>0</v>
      </c>
      <c r="I150" s="174">
        <f>VLOOKUP(C150,'[1]secteur privé'!$A$2:$I$218,6,0)</f>
        <v>73.492000000000004</v>
      </c>
      <c r="J150" s="173">
        <f t="shared" si="4"/>
        <v>-73.492000000000004</v>
      </c>
    </row>
    <row r="151" spans="2:10">
      <c r="B151" s="176" t="s">
        <v>144</v>
      </c>
      <c r="C151" s="174" t="s">
        <v>143</v>
      </c>
      <c r="D151" s="177" t="s">
        <v>70</v>
      </c>
      <c r="E151" s="176">
        <v>3</v>
      </c>
      <c r="F151" s="175">
        <v>8.3285056416999996</v>
      </c>
      <c r="G151" s="175">
        <v>1</v>
      </c>
      <c r="H151" s="175">
        <v>12.007</v>
      </c>
      <c r="I151" s="174">
        <f>VLOOKUP(C151,'[1]secteur privé'!$A$2:$I$218,6,0)</f>
        <v>30.12</v>
      </c>
      <c r="J151" s="173">
        <f t="shared" si="4"/>
        <v>-18.113</v>
      </c>
    </row>
    <row r="152" spans="2:10">
      <c r="B152" s="176" t="s">
        <v>142</v>
      </c>
      <c r="C152" s="174" t="s">
        <v>141</v>
      </c>
      <c r="D152" s="177" t="s">
        <v>70</v>
      </c>
      <c r="E152" s="176">
        <v>4</v>
      </c>
      <c r="F152" s="175">
        <v>8.0941497840000007</v>
      </c>
      <c r="G152" s="175">
        <v>8.09</v>
      </c>
      <c r="H152" s="175">
        <v>100</v>
      </c>
      <c r="I152" s="174">
        <f>VLOOKUP(C152,'[1]secteur privé'!$A$2:$I$218,6,0)</f>
        <v>72.849000000000004</v>
      </c>
      <c r="J152" s="173">
        <f t="shared" si="4"/>
        <v>27.150999999999996</v>
      </c>
    </row>
    <row r="153" spans="2:10">
      <c r="B153" s="176" t="s">
        <v>140</v>
      </c>
      <c r="C153" s="174" t="s">
        <v>139</v>
      </c>
      <c r="D153" s="177" t="s">
        <v>70</v>
      </c>
      <c r="E153" s="176">
        <v>2</v>
      </c>
      <c r="F153" s="175">
        <v>7.7499474877000001</v>
      </c>
      <c r="G153" s="175">
        <v>3.49</v>
      </c>
      <c r="H153" s="175">
        <v>45.094999999999999</v>
      </c>
      <c r="I153" s="174">
        <f>VLOOKUP(C153,'[1]secteur privé'!$A$2:$I$218,6,0)</f>
        <v>37.533999999999999</v>
      </c>
      <c r="J153" s="173">
        <f t="shared" si="4"/>
        <v>7.5609999999999999</v>
      </c>
    </row>
    <row r="154" spans="2:10">
      <c r="B154" s="176" t="s">
        <v>138</v>
      </c>
      <c r="C154" s="174" t="s">
        <v>137</v>
      </c>
      <c r="D154" s="177" t="s">
        <v>70</v>
      </c>
      <c r="E154" s="176">
        <v>3</v>
      </c>
      <c r="F154" s="175">
        <v>7.6757675217000001</v>
      </c>
      <c r="G154" s="175">
        <v>0</v>
      </c>
      <c r="H154" s="175">
        <v>0</v>
      </c>
      <c r="I154" s="174">
        <f>VLOOKUP(C154,'[1]secteur privé'!$A$2:$I$218,6,0)</f>
        <v>58.075000000000003</v>
      </c>
      <c r="J154" s="173">
        <f t="shared" si="4"/>
        <v>-58.075000000000003</v>
      </c>
    </row>
    <row r="155" spans="2:10">
      <c r="B155" s="176" t="s">
        <v>136</v>
      </c>
      <c r="C155" s="174" t="s">
        <v>135</v>
      </c>
      <c r="D155" s="177" t="s">
        <v>70</v>
      </c>
      <c r="E155" s="176">
        <v>2</v>
      </c>
      <c r="F155" s="175">
        <v>7.0777377522</v>
      </c>
      <c r="G155" s="175">
        <v>5.08</v>
      </c>
      <c r="H155" s="175">
        <v>71.742000000000004</v>
      </c>
      <c r="I155" s="174">
        <f>VLOOKUP(C155,'[1]secteur privé'!$A$2:$I$218,6,0)</f>
        <v>69.908000000000001</v>
      </c>
      <c r="J155" s="173">
        <f t="shared" si="4"/>
        <v>1.8340000000000032</v>
      </c>
    </row>
    <row r="156" spans="2:10">
      <c r="B156" s="176" t="s">
        <v>134</v>
      </c>
      <c r="C156" s="174" t="s">
        <v>133</v>
      </c>
      <c r="D156" s="177" t="s">
        <v>70</v>
      </c>
      <c r="E156" s="176">
        <v>4</v>
      </c>
      <c r="F156" s="175">
        <v>6.9589037468999999</v>
      </c>
      <c r="G156" s="175">
        <v>1.29</v>
      </c>
      <c r="H156" s="175">
        <v>18.599</v>
      </c>
      <c r="I156" s="174">
        <f>VLOOKUP(C156,'[1]secteur privé'!$A$2:$I$218,6,0)</f>
        <v>72.066999999999993</v>
      </c>
      <c r="J156" s="173">
        <f t="shared" si="4"/>
        <v>-53.467999999999989</v>
      </c>
    </row>
    <row r="157" spans="2:10">
      <c r="B157" s="176" t="s">
        <v>132</v>
      </c>
      <c r="C157" s="174" t="s">
        <v>131</v>
      </c>
      <c r="D157" s="177" t="s">
        <v>70</v>
      </c>
      <c r="E157" s="176">
        <v>2</v>
      </c>
      <c r="F157" s="175">
        <v>6.9228676154000004</v>
      </c>
      <c r="G157" s="175">
        <v>6.92</v>
      </c>
      <c r="H157" s="175">
        <v>100</v>
      </c>
      <c r="I157" s="174">
        <f>VLOOKUP(C157,'[1]secteur privé'!$A$2:$I$218,6,0)</f>
        <v>61.871000000000002</v>
      </c>
      <c r="J157" s="173">
        <f t="shared" si="4"/>
        <v>38.128999999999998</v>
      </c>
    </row>
    <row r="158" spans="2:10">
      <c r="B158" s="176" t="s">
        <v>130</v>
      </c>
      <c r="C158" s="174" t="s">
        <v>129</v>
      </c>
      <c r="D158" s="177" t="s">
        <v>70</v>
      </c>
      <c r="E158" s="176">
        <v>3</v>
      </c>
      <c r="F158" s="175">
        <v>6.9052588779999997</v>
      </c>
      <c r="G158" s="175">
        <v>4.91</v>
      </c>
      <c r="H158" s="175">
        <v>71.037000000000006</v>
      </c>
      <c r="I158" s="174">
        <f>VLOOKUP(C158,'[1]secteur privé'!$A$2:$I$218,6,0)</f>
        <v>65.765000000000001</v>
      </c>
      <c r="J158" s="173">
        <f t="shared" si="4"/>
        <v>5.2720000000000056</v>
      </c>
    </row>
    <row r="159" spans="2:10">
      <c r="B159" s="176" t="s">
        <v>128</v>
      </c>
      <c r="C159" s="174" t="s">
        <v>127</v>
      </c>
      <c r="D159" s="177" t="s">
        <v>70</v>
      </c>
      <c r="E159" s="176">
        <v>2</v>
      </c>
      <c r="F159" s="175">
        <v>6.6854223796000003</v>
      </c>
      <c r="G159" s="175">
        <v>3.89</v>
      </c>
      <c r="H159" s="175">
        <v>58.194000000000003</v>
      </c>
      <c r="I159" s="174">
        <f>VLOOKUP(C159,'[1]secteur privé'!$A$2:$I$218,6,0)</f>
        <v>53.021000000000001</v>
      </c>
      <c r="J159" s="173">
        <f t="shared" si="4"/>
        <v>5.1730000000000018</v>
      </c>
    </row>
    <row r="160" spans="2:10">
      <c r="B160" s="176" t="s">
        <v>126</v>
      </c>
      <c r="C160" s="174" t="s">
        <v>125</v>
      </c>
      <c r="D160" s="177" t="s">
        <v>70</v>
      </c>
      <c r="E160" s="176">
        <v>1</v>
      </c>
      <c r="F160" s="175">
        <v>6.5191693226999998</v>
      </c>
      <c r="G160" s="175">
        <v>6.52</v>
      </c>
      <c r="H160" s="175">
        <v>100</v>
      </c>
      <c r="I160" s="174">
        <f>VLOOKUP(C160,'[1]secteur privé'!$A$2:$I$218,6,0)</f>
        <v>65.034999999999997</v>
      </c>
      <c r="J160" s="173">
        <f t="shared" si="4"/>
        <v>34.965000000000003</v>
      </c>
    </row>
    <row r="161" spans="2:10">
      <c r="B161" s="176" t="s">
        <v>124</v>
      </c>
      <c r="C161" s="174" t="s">
        <v>123</v>
      </c>
      <c r="D161" s="177" t="s">
        <v>70</v>
      </c>
      <c r="E161" s="176">
        <v>1</v>
      </c>
      <c r="F161" s="175">
        <v>6.4291517038999997</v>
      </c>
      <c r="G161" s="175">
        <v>6.43</v>
      </c>
      <c r="H161" s="175">
        <v>100</v>
      </c>
      <c r="I161" s="174">
        <f>VLOOKUP(C161,'[1]secteur privé'!$A$2:$I$218,6,0)</f>
        <v>79.162999999999997</v>
      </c>
      <c r="J161" s="173">
        <f t="shared" si="4"/>
        <v>20.837000000000003</v>
      </c>
    </row>
    <row r="162" spans="2:10">
      <c r="B162" s="176" t="s">
        <v>122</v>
      </c>
      <c r="C162" s="174" t="s">
        <v>121</v>
      </c>
      <c r="D162" s="177" t="s">
        <v>70</v>
      </c>
      <c r="E162" s="176">
        <v>1</v>
      </c>
      <c r="F162" s="175">
        <v>6.4291517038999997</v>
      </c>
      <c r="G162" s="175">
        <v>6.43</v>
      </c>
      <c r="H162" s="175">
        <v>100</v>
      </c>
      <c r="I162" s="174">
        <f>VLOOKUP(C162,'[1]secteur privé'!$A$2:$I$218,6,0)</f>
        <v>72.790000000000006</v>
      </c>
      <c r="J162" s="173">
        <f t="shared" si="4"/>
        <v>27.209999999999994</v>
      </c>
    </row>
    <row r="163" spans="2:10">
      <c r="B163" s="176" t="s">
        <v>120</v>
      </c>
      <c r="C163" s="174" t="s">
        <v>119</v>
      </c>
      <c r="D163" s="177" t="s">
        <v>70</v>
      </c>
      <c r="E163" s="176">
        <v>3</v>
      </c>
      <c r="F163" s="175">
        <v>6.3577972494999999</v>
      </c>
      <c r="G163" s="175">
        <v>2.5499999999999998</v>
      </c>
      <c r="H163" s="175">
        <v>40.174999999999997</v>
      </c>
      <c r="I163" s="174">
        <f>VLOOKUP(C163,'[1]secteur privé'!$A$2:$I$218,6,0)</f>
        <v>62.024000000000001</v>
      </c>
      <c r="J163" s="173">
        <f t="shared" ref="J163:J187" si="5">H163-I163</f>
        <v>-21.849000000000004</v>
      </c>
    </row>
    <row r="164" spans="2:10">
      <c r="B164" s="176" t="s">
        <v>118</v>
      </c>
      <c r="C164" s="174" t="s">
        <v>117</v>
      </c>
      <c r="D164" s="177" t="s">
        <v>70</v>
      </c>
      <c r="E164" s="176">
        <v>2</v>
      </c>
      <c r="F164" s="175">
        <v>5.9052588779999997</v>
      </c>
      <c r="G164" s="175">
        <v>1</v>
      </c>
      <c r="H164" s="175">
        <v>16.934000000000001</v>
      </c>
      <c r="I164" s="174">
        <f>VLOOKUP(C164,'[1]secteur privé'!$A$2:$I$218,6,0)</f>
        <v>32.892000000000003</v>
      </c>
      <c r="J164" s="173">
        <f t="shared" si="5"/>
        <v>-15.958000000000002</v>
      </c>
    </row>
    <row r="165" spans="2:10">
      <c r="B165" s="176" t="s">
        <v>116</v>
      </c>
      <c r="C165" s="174" t="s">
        <v>115</v>
      </c>
      <c r="D165" s="177" t="s">
        <v>70</v>
      </c>
      <c r="E165" s="176">
        <v>3</v>
      </c>
      <c r="F165" s="175">
        <v>5.7802204867000002</v>
      </c>
      <c r="G165" s="175">
        <v>1</v>
      </c>
      <c r="H165" s="175">
        <v>17.3</v>
      </c>
      <c r="I165" s="174">
        <f>VLOOKUP(C165,'[1]secteur privé'!$A$2:$I$218,6,0)</f>
        <v>74.260000000000005</v>
      </c>
      <c r="J165" s="173">
        <f t="shared" si="5"/>
        <v>-56.960000000000008</v>
      </c>
    </row>
    <row r="166" spans="2:10">
      <c r="B166" s="176" t="s">
        <v>114</v>
      </c>
      <c r="C166" s="174" t="s">
        <v>113</v>
      </c>
      <c r="D166" s="177" t="s">
        <v>70</v>
      </c>
      <c r="E166" s="176">
        <v>3</v>
      </c>
      <c r="F166" s="175">
        <v>5.1111233926999997</v>
      </c>
      <c r="G166" s="175">
        <v>3</v>
      </c>
      <c r="H166" s="175">
        <v>58.695999999999998</v>
      </c>
      <c r="I166" s="174">
        <f>VLOOKUP(C166,'[1]secteur privé'!$A$2:$I$218,6,0)</f>
        <v>85.790999999999997</v>
      </c>
      <c r="J166" s="173">
        <f t="shared" si="5"/>
        <v>-27.094999999999999</v>
      </c>
    </row>
    <row r="167" spans="2:10">
      <c r="B167" s="176" t="s">
        <v>112</v>
      </c>
      <c r="C167" s="174" t="s">
        <v>111</v>
      </c>
      <c r="D167" s="177" t="s">
        <v>70</v>
      </c>
      <c r="E167" s="176">
        <v>1</v>
      </c>
      <c r="F167" s="175">
        <v>5</v>
      </c>
      <c r="G167" s="175">
        <v>0</v>
      </c>
      <c r="H167" s="175">
        <v>0</v>
      </c>
      <c r="I167" s="174">
        <f>VLOOKUP(C167,'[1]secteur privé'!$A$2:$I$218,6,0)</f>
        <v>64.352999999999994</v>
      </c>
      <c r="J167" s="173">
        <f t="shared" si="5"/>
        <v>-64.352999999999994</v>
      </c>
    </row>
    <row r="168" spans="2:10">
      <c r="B168" s="176" t="s">
        <v>110</v>
      </c>
      <c r="C168" s="174" t="s">
        <v>109</v>
      </c>
      <c r="D168" s="177" t="s">
        <v>70</v>
      </c>
      <c r="E168" s="176">
        <v>1</v>
      </c>
      <c r="F168" s="175">
        <v>3.2686654126999999</v>
      </c>
      <c r="G168" s="175">
        <v>0</v>
      </c>
      <c r="H168" s="175">
        <v>0</v>
      </c>
      <c r="I168" s="174">
        <f>VLOOKUP(C168,'[1]secteur privé'!$A$2:$I$218,6,0)</f>
        <v>50.652000000000001</v>
      </c>
      <c r="J168" s="173">
        <f t="shared" si="5"/>
        <v>-50.652000000000001</v>
      </c>
    </row>
    <row r="169" spans="2:10">
      <c r="B169" s="176" t="s">
        <v>108</v>
      </c>
      <c r="C169" s="174" t="s">
        <v>107</v>
      </c>
      <c r="D169" s="177" t="s">
        <v>70</v>
      </c>
      <c r="E169" s="176">
        <v>2</v>
      </c>
      <c r="F169" s="175">
        <v>3.2441349742000001</v>
      </c>
      <c r="G169" s="175">
        <v>2</v>
      </c>
      <c r="H169" s="175">
        <v>61.65</v>
      </c>
      <c r="I169" s="174">
        <f>VLOOKUP(C169,'[1]secteur privé'!$A$2:$I$218,6,0)</f>
        <v>80.087999999999994</v>
      </c>
      <c r="J169" s="173">
        <f t="shared" si="5"/>
        <v>-18.437999999999995</v>
      </c>
    </row>
    <row r="170" spans="2:10">
      <c r="B170" s="176" t="s">
        <v>106</v>
      </c>
      <c r="C170" s="174" t="s">
        <v>105</v>
      </c>
      <c r="D170" s="177" t="s">
        <v>70</v>
      </c>
      <c r="E170" s="176">
        <v>1</v>
      </c>
      <c r="F170" s="175">
        <v>3.2145758519999998</v>
      </c>
      <c r="G170" s="175">
        <v>3.21</v>
      </c>
      <c r="H170" s="175">
        <v>100</v>
      </c>
      <c r="I170" s="174">
        <f>VLOOKUP(C170,'[1]secteur privé'!$A$2:$I$218,6,0)</f>
        <v>85.265000000000001</v>
      </c>
      <c r="J170" s="173">
        <f t="shared" si="5"/>
        <v>14.734999999999999</v>
      </c>
    </row>
    <row r="171" spans="2:10">
      <c r="B171" s="176" t="s">
        <v>104</v>
      </c>
      <c r="C171" s="174" t="s">
        <v>103</v>
      </c>
      <c r="D171" s="177" t="s">
        <v>70</v>
      </c>
      <c r="E171" s="176">
        <v>1</v>
      </c>
      <c r="F171" s="175">
        <v>3.2145758519999998</v>
      </c>
      <c r="G171" s="175">
        <v>3.21</v>
      </c>
      <c r="H171" s="175">
        <v>100</v>
      </c>
      <c r="I171" s="174">
        <f>VLOOKUP(C171,'[1]secteur privé'!$A$2:$I$218,6,0)</f>
        <v>51.01</v>
      </c>
      <c r="J171" s="173">
        <f t="shared" si="5"/>
        <v>48.99</v>
      </c>
    </row>
    <row r="172" spans="2:10">
      <c r="B172" s="176" t="s">
        <v>102</v>
      </c>
      <c r="C172" s="174" t="s">
        <v>101</v>
      </c>
      <c r="D172" s="177" t="s">
        <v>70</v>
      </c>
      <c r="E172" s="176">
        <v>1</v>
      </c>
      <c r="F172" s="175">
        <v>3.1173064660000001</v>
      </c>
      <c r="G172" s="175">
        <v>3.12</v>
      </c>
      <c r="H172" s="175">
        <v>100</v>
      </c>
      <c r="I172" s="174">
        <f>VLOOKUP(C172,'[1]secteur privé'!$A$2:$I$218,6,0)</f>
        <v>75.153000000000006</v>
      </c>
      <c r="J172" s="173">
        <f t="shared" si="5"/>
        <v>24.846999999999994</v>
      </c>
    </row>
    <row r="173" spans="2:10">
      <c r="B173" s="176" t="s">
        <v>100</v>
      </c>
      <c r="C173" s="174" t="s">
        <v>99</v>
      </c>
      <c r="D173" s="177" t="s">
        <v>70</v>
      </c>
      <c r="E173" s="176">
        <v>3</v>
      </c>
      <c r="F173" s="175">
        <v>3</v>
      </c>
      <c r="G173" s="175">
        <v>1</v>
      </c>
      <c r="H173" s="175">
        <v>33.332999999999998</v>
      </c>
      <c r="I173" s="174">
        <f>VLOOKUP(C173,'[1]secteur privé'!$A$2:$I$218,6,0)</f>
        <v>76.686999999999998</v>
      </c>
      <c r="J173" s="173">
        <f t="shared" si="5"/>
        <v>-43.353999999999999</v>
      </c>
    </row>
    <row r="174" spans="2:10">
      <c r="B174" s="176" t="s">
        <v>98</v>
      </c>
      <c r="C174" s="174" t="s">
        <v>97</v>
      </c>
      <c r="D174" s="177" t="s">
        <v>70</v>
      </c>
      <c r="E174" s="176">
        <v>1</v>
      </c>
      <c r="F174" s="175">
        <v>2.7337506986000002</v>
      </c>
      <c r="G174" s="175">
        <v>2.73</v>
      </c>
      <c r="H174" s="175">
        <v>100</v>
      </c>
      <c r="I174" s="174">
        <f>VLOOKUP(C174,'[1]secteur privé'!$A$2:$I$218,6,0)</f>
        <v>52.125999999999998</v>
      </c>
      <c r="J174" s="173">
        <f t="shared" si="5"/>
        <v>47.874000000000002</v>
      </c>
    </row>
    <row r="175" spans="2:10">
      <c r="B175" s="176" t="s">
        <v>96</v>
      </c>
      <c r="C175" s="174" t="s">
        <v>95</v>
      </c>
      <c r="D175" s="177" t="s">
        <v>70</v>
      </c>
      <c r="E175" s="176">
        <v>1</v>
      </c>
      <c r="F175" s="175">
        <v>2.6716658095999999</v>
      </c>
      <c r="G175" s="175">
        <v>0</v>
      </c>
      <c r="H175" s="175">
        <v>0</v>
      </c>
      <c r="I175" s="174">
        <f>VLOOKUP(C175,'[1]secteur privé'!$A$2:$I$218,6,0)</f>
        <v>39.585000000000001</v>
      </c>
      <c r="J175" s="173">
        <f t="shared" si="5"/>
        <v>-39.585000000000001</v>
      </c>
    </row>
    <row r="176" spans="2:10">
      <c r="B176" s="176" t="s">
        <v>94</v>
      </c>
      <c r="C176" s="174" t="s">
        <v>93</v>
      </c>
      <c r="D176" s="177" t="s">
        <v>70</v>
      </c>
      <c r="E176" s="176">
        <v>1</v>
      </c>
      <c r="F176" s="175">
        <v>2.6716658095999999</v>
      </c>
      <c r="G176" s="175">
        <v>0</v>
      </c>
      <c r="H176" s="175">
        <v>0</v>
      </c>
      <c r="I176" s="174">
        <f>VLOOKUP(C176,'[1]secteur privé'!$A$2:$I$218,6,0)</f>
        <v>21.163</v>
      </c>
      <c r="J176" s="173">
        <f t="shared" si="5"/>
        <v>-21.163</v>
      </c>
    </row>
    <row r="177" spans="2:10">
      <c r="B177" s="176" t="s">
        <v>92</v>
      </c>
      <c r="C177" s="174" t="s">
        <v>91</v>
      </c>
      <c r="D177" s="177" t="s">
        <v>70</v>
      </c>
      <c r="E177" s="176">
        <v>2</v>
      </c>
      <c r="F177" s="175">
        <v>2.5357927564999998</v>
      </c>
      <c r="G177" s="175">
        <v>2.54</v>
      </c>
      <c r="H177" s="175">
        <v>100</v>
      </c>
      <c r="I177" s="174">
        <f>VLOOKUP(C177,'[1]secteur privé'!$A$2:$I$218,6,0)</f>
        <v>34.301000000000002</v>
      </c>
      <c r="J177" s="173">
        <f t="shared" si="5"/>
        <v>65.698999999999998</v>
      </c>
    </row>
    <row r="178" spans="2:10">
      <c r="B178" s="176" t="s">
        <v>90</v>
      </c>
      <c r="C178" s="174" t="s">
        <v>89</v>
      </c>
      <c r="D178" s="177" t="s">
        <v>70</v>
      </c>
      <c r="E178" s="176">
        <v>2</v>
      </c>
      <c r="F178" s="175">
        <v>2.4037783186000001</v>
      </c>
      <c r="G178" s="175">
        <v>2.4</v>
      </c>
      <c r="H178" s="175">
        <v>100</v>
      </c>
      <c r="I178" s="174">
        <f>VLOOKUP(C178,'[1]secteur privé'!$A$2:$I$218,6,0)</f>
        <v>63.348999999999997</v>
      </c>
      <c r="J178" s="173">
        <f t="shared" si="5"/>
        <v>36.651000000000003</v>
      </c>
    </row>
    <row r="179" spans="2:10">
      <c r="B179" s="176" t="s">
        <v>88</v>
      </c>
      <c r="C179" s="174" t="s">
        <v>87</v>
      </c>
      <c r="D179" s="177" t="s">
        <v>70</v>
      </c>
      <c r="E179" s="176">
        <v>1</v>
      </c>
      <c r="F179" s="175">
        <v>2.2090417728</v>
      </c>
      <c r="G179" s="175">
        <v>0</v>
      </c>
      <c r="H179" s="175">
        <v>0</v>
      </c>
      <c r="I179" s="174">
        <f>VLOOKUP(C179,'[1]secteur privé'!$A$2:$I$218,6,0)</f>
        <v>33.414999999999999</v>
      </c>
      <c r="J179" s="173">
        <f t="shared" si="5"/>
        <v>-33.414999999999999</v>
      </c>
    </row>
    <row r="180" spans="2:10">
      <c r="B180" s="176" t="s">
        <v>86</v>
      </c>
      <c r="C180" s="174" t="s">
        <v>85</v>
      </c>
      <c r="D180" s="177" t="s">
        <v>70</v>
      </c>
      <c r="E180" s="176">
        <v>1</v>
      </c>
      <c r="F180" s="175">
        <v>2.0426881286</v>
      </c>
      <c r="G180" s="175">
        <v>2.04</v>
      </c>
      <c r="H180" s="175">
        <v>100</v>
      </c>
      <c r="I180" s="174">
        <f>VLOOKUP(C180,'[1]secteur privé'!$A$2:$I$218,6,0)</f>
        <v>81.070999999999998</v>
      </c>
      <c r="J180" s="173">
        <f t="shared" si="5"/>
        <v>18.929000000000002</v>
      </c>
    </row>
    <row r="181" spans="2:10">
      <c r="B181" s="176" t="s">
        <v>84</v>
      </c>
      <c r="C181" s="174" t="s">
        <v>83</v>
      </c>
      <c r="D181" s="177" t="s">
        <v>70</v>
      </c>
      <c r="E181" s="176">
        <v>1</v>
      </c>
      <c r="F181" s="175">
        <v>2.0160255031999998</v>
      </c>
      <c r="G181" s="175">
        <v>2.02</v>
      </c>
      <c r="H181" s="175">
        <v>100</v>
      </c>
      <c r="I181" s="174">
        <f>VLOOKUP(C181,'[1]secteur privé'!$A$2:$I$218,6,0)</f>
        <v>43.874000000000002</v>
      </c>
      <c r="J181" s="173">
        <f t="shared" si="5"/>
        <v>56.125999999999998</v>
      </c>
    </row>
    <row r="182" spans="2:10">
      <c r="B182" s="176" t="s">
        <v>82</v>
      </c>
      <c r="C182" s="174" t="s">
        <v>81</v>
      </c>
      <c r="D182" s="177" t="s">
        <v>70</v>
      </c>
      <c r="E182" s="176">
        <v>1</v>
      </c>
      <c r="F182" s="175">
        <v>2</v>
      </c>
      <c r="G182" s="175">
        <v>2</v>
      </c>
      <c r="H182" s="175">
        <v>100</v>
      </c>
      <c r="I182" s="174">
        <f>VLOOKUP(C182,'[1]secteur privé'!$A$2:$I$218,6,0)</f>
        <v>54.521000000000001</v>
      </c>
      <c r="J182" s="173">
        <f t="shared" si="5"/>
        <v>45.478999999999999</v>
      </c>
    </row>
    <row r="183" spans="2:10">
      <c r="B183" s="176" t="s">
        <v>80</v>
      </c>
      <c r="C183" s="174" t="s">
        <v>79</v>
      </c>
      <c r="D183" s="177" t="s">
        <v>70</v>
      </c>
      <c r="E183" s="176">
        <v>1</v>
      </c>
      <c r="F183" s="175">
        <v>2</v>
      </c>
      <c r="G183" s="175">
        <v>2</v>
      </c>
      <c r="H183" s="175">
        <v>100</v>
      </c>
      <c r="I183" s="174">
        <f>VLOOKUP(C183,'[1]secteur privé'!$A$2:$I$218,6,0)</f>
        <v>77.203999999999994</v>
      </c>
      <c r="J183" s="173">
        <f t="shared" si="5"/>
        <v>22.796000000000006</v>
      </c>
    </row>
    <row r="184" spans="2:10">
      <c r="B184" s="176" t="s">
        <v>78</v>
      </c>
      <c r="C184" s="174" t="s">
        <v>77</v>
      </c>
      <c r="D184" s="177" t="s">
        <v>70</v>
      </c>
      <c r="E184" s="176">
        <v>1</v>
      </c>
      <c r="F184" s="175">
        <v>1.9770473743000001</v>
      </c>
      <c r="G184" s="175">
        <v>1.98</v>
      </c>
      <c r="H184" s="175">
        <v>100</v>
      </c>
      <c r="I184" s="174">
        <f>VLOOKUP(C184,'[1]secteur privé'!$A$2:$I$218,6,0)</f>
        <v>72.741</v>
      </c>
      <c r="J184" s="173">
        <f t="shared" si="5"/>
        <v>27.259</v>
      </c>
    </row>
    <row r="185" spans="2:10">
      <c r="B185" s="176" t="s">
        <v>76</v>
      </c>
      <c r="C185" s="174" t="s">
        <v>75</v>
      </c>
      <c r="D185" s="177" t="s">
        <v>70</v>
      </c>
      <c r="E185" s="176">
        <v>1</v>
      </c>
      <c r="F185" s="175">
        <v>1.0884914819</v>
      </c>
      <c r="G185" s="175">
        <v>0</v>
      </c>
      <c r="H185" s="175">
        <v>0</v>
      </c>
      <c r="I185" s="174">
        <f>VLOOKUP(C185,'[1]secteur privé'!$A$2:$I$218,6,0)</f>
        <v>30.433</v>
      </c>
      <c r="J185" s="173">
        <f t="shared" si="5"/>
        <v>-30.433</v>
      </c>
    </row>
    <row r="186" spans="2:10">
      <c r="B186" s="176" t="s">
        <v>74</v>
      </c>
      <c r="C186" s="174" t="s">
        <v>73</v>
      </c>
      <c r="D186" s="177" t="s">
        <v>70</v>
      </c>
      <c r="E186" s="176">
        <v>1</v>
      </c>
      <c r="F186" s="175">
        <v>1</v>
      </c>
      <c r="G186" s="175">
        <v>1</v>
      </c>
      <c r="H186" s="175">
        <v>100</v>
      </c>
      <c r="I186" s="174">
        <f>VLOOKUP(C186,'[1]secteur privé'!$A$2:$I$218,6,0)</f>
        <v>32.536999999999999</v>
      </c>
      <c r="J186" s="173">
        <f t="shared" si="5"/>
        <v>67.462999999999994</v>
      </c>
    </row>
    <row r="187" spans="2:10" ht="15" thickBot="1">
      <c r="B187" s="172" t="s">
        <v>72</v>
      </c>
      <c r="C187" s="171" t="s">
        <v>71</v>
      </c>
      <c r="D187" s="170" t="s">
        <v>70</v>
      </c>
      <c r="E187" s="169">
        <v>1</v>
      </c>
      <c r="F187" s="168">
        <v>1</v>
      </c>
      <c r="G187" s="168">
        <v>0</v>
      </c>
      <c r="H187" s="168">
        <v>0</v>
      </c>
      <c r="I187" s="167">
        <f>VLOOKUP(C187,'[1]secteur privé'!$A$2:$I$218,6,0)</f>
        <v>27.358000000000001</v>
      </c>
      <c r="J187" s="166">
        <f t="shared" si="5"/>
        <v>-27.358000000000001</v>
      </c>
    </row>
    <row r="188" spans="2:10" ht="15" thickTop="1"/>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5"/>
  <dimension ref="A1:S104"/>
  <sheetViews>
    <sheetView zoomScale="85" zoomScaleNormal="85" workbookViewId="0">
      <selection activeCell="B3" sqref="B3"/>
    </sheetView>
  </sheetViews>
  <sheetFormatPr baseColWidth="10" defaultRowHeight="14.5"/>
  <cols>
    <col min="1" max="1" width="35.6328125" style="163" customWidth="1"/>
    <col min="2" max="4" width="11.7265625" style="163" customWidth="1"/>
    <col min="5" max="6" width="11.7265625" style="165" customWidth="1"/>
    <col min="7" max="9" width="11.7265625" style="164" customWidth="1"/>
    <col min="10" max="19" width="11" style="163"/>
  </cols>
  <sheetData>
    <row r="1" spans="1:19">
      <c r="A1" t="s">
        <v>10</v>
      </c>
      <c r="B1" t="s">
        <v>575</v>
      </c>
      <c r="C1"/>
      <c r="D1"/>
      <c r="E1"/>
      <c r="F1"/>
      <c r="G1"/>
      <c r="H1"/>
      <c r="I1"/>
      <c r="J1"/>
      <c r="K1"/>
      <c r="L1"/>
      <c r="M1"/>
      <c r="N1"/>
      <c r="O1"/>
      <c r="P1"/>
      <c r="Q1"/>
      <c r="R1"/>
      <c r="S1"/>
    </row>
    <row r="2" spans="1:19">
      <c r="A2" t="s">
        <v>9</v>
      </c>
      <c r="B2" t="s">
        <v>573</v>
      </c>
      <c r="C2"/>
      <c r="D2"/>
      <c r="E2"/>
      <c r="F2"/>
      <c r="G2"/>
      <c r="H2"/>
      <c r="I2"/>
      <c r="J2"/>
      <c r="K2"/>
      <c r="L2"/>
      <c r="M2"/>
      <c r="N2"/>
      <c r="O2"/>
      <c r="P2"/>
      <c r="Q2"/>
      <c r="R2"/>
      <c r="S2"/>
    </row>
    <row r="3" spans="1:19">
      <c r="A3" t="s">
        <v>66</v>
      </c>
      <c r="B3"/>
      <c r="C3"/>
      <c r="D3"/>
      <c r="E3"/>
      <c r="F3"/>
      <c r="G3"/>
      <c r="H3"/>
      <c r="I3"/>
      <c r="J3"/>
      <c r="K3"/>
      <c r="L3"/>
      <c r="M3"/>
      <c r="N3"/>
      <c r="O3"/>
      <c r="P3"/>
      <c r="Q3"/>
      <c r="R3"/>
      <c r="S3"/>
    </row>
    <row r="4" spans="1:19">
      <c r="A4" t="s">
        <v>65</v>
      </c>
      <c r="B4" s="52"/>
      <c r="C4"/>
      <c r="D4"/>
      <c r="E4"/>
      <c r="F4"/>
      <c r="G4"/>
      <c r="H4"/>
      <c r="I4"/>
      <c r="J4"/>
      <c r="K4"/>
      <c r="L4"/>
      <c r="M4"/>
      <c r="N4"/>
      <c r="O4"/>
      <c r="P4"/>
      <c r="Q4"/>
      <c r="R4"/>
      <c r="S4"/>
    </row>
    <row r="5" spans="1:19">
      <c r="A5"/>
    </row>
    <row r="6" spans="1:19" ht="15" thickBot="1">
      <c r="A6"/>
    </row>
    <row r="7" spans="1:19" ht="15.5" thickTop="1" thickBot="1">
      <c r="B7" s="193" t="s">
        <v>451</v>
      </c>
      <c r="C7" s="191" t="s">
        <v>450</v>
      </c>
      <c r="D7" s="191" t="s">
        <v>449</v>
      </c>
      <c r="E7" s="191" t="s">
        <v>434</v>
      </c>
      <c r="F7" s="192" t="s">
        <v>433</v>
      </c>
      <c r="G7" s="192" t="s">
        <v>432</v>
      </c>
      <c r="H7" s="204" t="s">
        <v>431</v>
      </c>
      <c r="I7" s="204" t="s">
        <v>430</v>
      </c>
      <c r="J7" s="190" t="s">
        <v>448</v>
      </c>
      <c r="K7" s="203"/>
      <c r="L7" s="203"/>
      <c r="M7" s="203"/>
      <c r="N7" s="203"/>
      <c r="O7" s="203"/>
      <c r="P7" s="203"/>
      <c r="Q7" s="203"/>
      <c r="R7" s="203"/>
      <c r="S7" s="203"/>
    </row>
    <row r="8" spans="1:19" ht="15" thickTop="1">
      <c r="B8" s="202" t="s">
        <v>412</v>
      </c>
      <c r="C8" s="186" t="s">
        <v>411</v>
      </c>
      <c r="D8" s="186" t="s">
        <v>439</v>
      </c>
      <c r="E8" s="186">
        <v>1436</v>
      </c>
      <c r="F8" s="187">
        <v>13418.354717</v>
      </c>
      <c r="G8" s="187">
        <v>8541.91</v>
      </c>
      <c r="H8" s="201">
        <v>63.658000000000001</v>
      </c>
      <c r="I8" s="201">
        <f>VLOOKUP(C8,'[1]secteur privé'!$A$1:$I$218,6,0)</f>
        <v>70.691999999999993</v>
      </c>
      <c r="J8" s="185">
        <f t="shared" ref="J8:J39" si="0">H8-I8</f>
        <v>-7.0339999999999918</v>
      </c>
    </row>
    <row r="9" spans="1:19">
      <c r="B9" s="197" t="s">
        <v>394</v>
      </c>
      <c r="C9" s="174" t="s">
        <v>393</v>
      </c>
      <c r="D9" s="174" t="s">
        <v>439</v>
      </c>
      <c r="E9" s="174">
        <v>1141</v>
      </c>
      <c r="F9" s="175">
        <v>11710.843134000001</v>
      </c>
      <c r="G9" s="175">
        <v>8224.83</v>
      </c>
      <c r="H9" s="196">
        <v>70.233000000000004</v>
      </c>
      <c r="I9" s="196">
        <f>VLOOKUP(C9,'[1]secteur privé'!$A$1:$I$218,6,0)</f>
        <v>73.828999999999994</v>
      </c>
      <c r="J9" s="173">
        <f t="shared" si="0"/>
        <v>-3.5959999999999894</v>
      </c>
    </row>
    <row r="10" spans="1:19">
      <c r="B10" s="197" t="s">
        <v>392</v>
      </c>
      <c r="C10" s="174" t="s">
        <v>391</v>
      </c>
      <c r="D10" s="174" t="s">
        <v>439</v>
      </c>
      <c r="E10" s="174">
        <v>761</v>
      </c>
      <c r="F10" s="175">
        <v>7315.8554225999997</v>
      </c>
      <c r="G10" s="175">
        <v>3027.37</v>
      </c>
      <c r="H10" s="196">
        <v>41.381</v>
      </c>
      <c r="I10" s="196">
        <f>VLOOKUP(C10,'[1]secteur privé'!$A$1:$I$218,6,0)</f>
        <v>47.273000000000003</v>
      </c>
      <c r="J10" s="173">
        <f t="shared" si="0"/>
        <v>-5.892000000000003</v>
      </c>
    </row>
    <row r="11" spans="1:19">
      <c r="B11" s="197" t="s">
        <v>378</v>
      </c>
      <c r="C11" s="174" t="s">
        <v>377</v>
      </c>
      <c r="D11" s="174" t="s">
        <v>439</v>
      </c>
      <c r="E11" s="174">
        <v>320</v>
      </c>
      <c r="F11" s="175">
        <v>2523.9749734000002</v>
      </c>
      <c r="G11" s="175">
        <v>1991.35</v>
      </c>
      <c r="H11" s="196">
        <v>78.897999999999996</v>
      </c>
      <c r="I11" s="196">
        <f>VLOOKUP(C11,'[1]secteur privé'!$A$1:$I$218,6,0)</f>
        <v>82.694999999999993</v>
      </c>
      <c r="J11" s="173">
        <f t="shared" si="0"/>
        <v>-3.796999999999997</v>
      </c>
    </row>
    <row r="12" spans="1:19">
      <c r="B12" s="197" t="s">
        <v>400</v>
      </c>
      <c r="C12" s="174" t="s">
        <v>399</v>
      </c>
      <c r="D12" s="174" t="s">
        <v>439</v>
      </c>
      <c r="E12" s="174">
        <v>194</v>
      </c>
      <c r="F12" s="175">
        <v>2019.6619939</v>
      </c>
      <c r="G12" s="175">
        <v>1199.06</v>
      </c>
      <c r="H12" s="196">
        <v>59.37</v>
      </c>
      <c r="I12" s="196">
        <f>VLOOKUP(C12,'[1]secteur privé'!$A$1:$I$218,6,0)</f>
        <v>68.427999999999997</v>
      </c>
      <c r="J12" s="173">
        <f t="shared" si="0"/>
        <v>-9.0579999999999998</v>
      </c>
    </row>
    <row r="13" spans="1:19">
      <c r="B13" s="197" t="s">
        <v>294</v>
      </c>
      <c r="C13" s="174" t="s">
        <v>293</v>
      </c>
      <c r="D13" s="174" t="s">
        <v>439</v>
      </c>
      <c r="E13" s="174">
        <v>275</v>
      </c>
      <c r="F13" s="175">
        <v>1705.5831906999999</v>
      </c>
      <c r="G13" s="175">
        <v>917.16</v>
      </c>
      <c r="H13" s="196">
        <v>53.774000000000001</v>
      </c>
      <c r="I13" s="196">
        <f>VLOOKUP(C13,'[1]secteur privé'!$A$1:$I$218,6,0)</f>
        <v>78.254999999999995</v>
      </c>
      <c r="J13" s="173">
        <f t="shared" si="0"/>
        <v>-24.480999999999995</v>
      </c>
    </row>
    <row r="14" spans="1:19">
      <c r="B14" s="197" t="s">
        <v>164</v>
      </c>
      <c r="C14" s="174" t="s">
        <v>163</v>
      </c>
      <c r="D14" s="174" t="s">
        <v>439</v>
      </c>
      <c r="E14" s="174">
        <v>76</v>
      </c>
      <c r="F14" s="175">
        <v>1530.6487322</v>
      </c>
      <c r="G14" s="175">
        <v>1094.9000000000001</v>
      </c>
      <c r="H14" s="196">
        <v>71.531999999999996</v>
      </c>
      <c r="I14" s="196">
        <f>VLOOKUP(C14,'[1]secteur privé'!$A$1:$I$218,6,0)</f>
        <v>78.923000000000002</v>
      </c>
      <c r="J14" s="173">
        <f t="shared" si="0"/>
        <v>-7.3910000000000053</v>
      </c>
    </row>
    <row r="15" spans="1:19">
      <c r="B15" s="197" t="s">
        <v>396</v>
      </c>
      <c r="C15" s="174" t="s">
        <v>395</v>
      </c>
      <c r="D15" s="174" t="s">
        <v>439</v>
      </c>
      <c r="E15" s="174">
        <v>154</v>
      </c>
      <c r="F15" s="175">
        <v>1127.4763342000001</v>
      </c>
      <c r="G15" s="175">
        <v>423.21</v>
      </c>
      <c r="H15" s="196">
        <v>37.536000000000001</v>
      </c>
      <c r="I15" s="196">
        <f>VLOOKUP(C15,'[1]secteur privé'!$A$1:$I$218,6,0)</f>
        <v>37.261000000000003</v>
      </c>
      <c r="J15" s="173">
        <f t="shared" si="0"/>
        <v>0.27499999999999858</v>
      </c>
    </row>
    <row r="16" spans="1:19">
      <c r="B16" s="197" t="s">
        <v>334</v>
      </c>
      <c r="C16" s="174" t="s">
        <v>333</v>
      </c>
      <c r="D16" s="174" t="s">
        <v>439</v>
      </c>
      <c r="E16" s="174">
        <v>237</v>
      </c>
      <c r="F16" s="175">
        <v>841.58740006999994</v>
      </c>
      <c r="G16" s="175">
        <v>438.32</v>
      </c>
      <c r="H16" s="196">
        <v>52.082000000000001</v>
      </c>
      <c r="I16" s="196">
        <f>VLOOKUP(C16,'[1]secteur privé'!$A$1:$I$218,6,0)</f>
        <v>59.395000000000003</v>
      </c>
      <c r="J16" s="173">
        <f t="shared" si="0"/>
        <v>-7.3130000000000024</v>
      </c>
    </row>
    <row r="17" spans="2:19">
      <c r="B17" s="197" t="s">
        <v>426</v>
      </c>
      <c r="C17" s="174" t="s">
        <v>425</v>
      </c>
      <c r="D17" s="174" t="s">
        <v>439</v>
      </c>
      <c r="E17" s="174">
        <v>98</v>
      </c>
      <c r="F17" s="175">
        <v>736.12484606999999</v>
      </c>
      <c r="G17" s="175">
        <v>234.46</v>
      </c>
      <c r="H17" s="196">
        <v>31.850999999999999</v>
      </c>
      <c r="I17" s="196">
        <f>VLOOKUP(C17,'[1]secteur privé'!$A$1:$I$218,6,0)</f>
        <v>57.000999999999998</v>
      </c>
      <c r="J17" s="173">
        <f t="shared" si="0"/>
        <v>-25.15</v>
      </c>
    </row>
    <row r="18" spans="2:19">
      <c r="B18" s="197" t="s">
        <v>336</v>
      </c>
      <c r="C18" s="174" t="s">
        <v>335</v>
      </c>
      <c r="D18" s="174" t="s">
        <v>439</v>
      </c>
      <c r="E18" s="174">
        <v>100</v>
      </c>
      <c r="F18" s="175">
        <v>662.65479889000005</v>
      </c>
      <c r="G18" s="175">
        <v>223.84</v>
      </c>
      <c r="H18" s="196">
        <v>33.779000000000003</v>
      </c>
      <c r="I18" s="196">
        <f>VLOOKUP(C18,'[1]secteur privé'!$A$1:$I$218,6,0)</f>
        <v>75.400999999999996</v>
      </c>
      <c r="J18" s="173">
        <f t="shared" si="0"/>
        <v>-41.621999999999993</v>
      </c>
    </row>
    <row r="19" spans="2:19">
      <c r="B19" s="200" t="s">
        <v>398</v>
      </c>
      <c r="C19" s="181" t="s">
        <v>397</v>
      </c>
      <c r="D19" s="181" t="s">
        <v>439</v>
      </c>
      <c r="E19" s="181">
        <v>112</v>
      </c>
      <c r="F19" s="182">
        <v>473.62461887000001</v>
      </c>
      <c r="G19" s="182">
        <v>252.66</v>
      </c>
      <c r="H19" s="199">
        <v>53.345999999999997</v>
      </c>
      <c r="I19" s="199">
        <f>VLOOKUP(C19,'[1]secteur privé'!$A$1:$I$218,6,0)</f>
        <v>64.724000000000004</v>
      </c>
      <c r="J19" s="180">
        <f t="shared" si="0"/>
        <v>-11.378000000000007</v>
      </c>
      <c r="K19" s="178"/>
      <c r="L19" s="178"/>
      <c r="M19" s="178"/>
      <c r="N19" s="178"/>
      <c r="O19" s="178"/>
      <c r="P19" s="178"/>
      <c r="Q19" s="178"/>
      <c r="R19" s="178"/>
      <c r="S19" s="178"/>
    </row>
    <row r="20" spans="2:19">
      <c r="B20" s="197" t="s">
        <v>384</v>
      </c>
      <c r="C20" s="174" t="s">
        <v>383</v>
      </c>
      <c r="D20" s="174" t="s">
        <v>439</v>
      </c>
      <c r="E20" s="174">
        <v>51</v>
      </c>
      <c r="F20" s="175">
        <v>472.63602975999999</v>
      </c>
      <c r="G20" s="175">
        <v>134.44999999999999</v>
      </c>
      <c r="H20" s="196">
        <v>28.446999999999999</v>
      </c>
      <c r="I20" s="196">
        <f>VLOOKUP(C20,'[1]secteur privé'!$A$1:$I$218,6,0)</f>
        <v>72.180999999999997</v>
      </c>
      <c r="J20" s="173">
        <f t="shared" si="0"/>
        <v>-43.733999999999995</v>
      </c>
    </row>
    <row r="21" spans="2:19">
      <c r="B21" s="197" t="s">
        <v>410</v>
      </c>
      <c r="C21" s="174" t="s">
        <v>409</v>
      </c>
      <c r="D21" s="174" t="s">
        <v>439</v>
      </c>
      <c r="E21" s="174">
        <v>89</v>
      </c>
      <c r="F21" s="175">
        <v>346.03895648999998</v>
      </c>
      <c r="G21" s="175">
        <v>117.69</v>
      </c>
      <c r="H21" s="196">
        <v>34.01</v>
      </c>
      <c r="I21" s="196">
        <f>VLOOKUP(C21,'[1]secteur privé'!$A$1:$I$218,6,0)</f>
        <v>56.953000000000003</v>
      </c>
      <c r="J21" s="173">
        <f t="shared" si="0"/>
        <v>-22.943000000000005</v>
      </c>
    </row>
    <row r="22" spans="2:19">
      <c r="B22" s="197" t="s">
        <v>404</v>
      </c>
      <c r="C22" s="174" t="s">
        <v>403</v>
      </c>
      <c r="D22" s="174" t="s">
        <v>439</v>
      </c>
      <c r="E22" s="174">
        <v>13</v>
      </c>
      <c r="F22" s="175">
        <v>341.16855184999997</v>
      </c>
      <c r="G22" s="175">
        <v>288.77</v>
      </c>
      <c r="H22" s="196">
        <v>84.643000000000001</v>
      </c>
      <c r="I22" s="196">
        <f>VLOOKUP(C22,'[1]secteur privé'!$A$1:$I$218,6,0)</f>
        <v>53.627000000000002</v>
      </c>
      <c r="J22" s="173">
        <f t="shared" si="0"/>
        <v>31.015999999999998</v>
      </c>
      <c r="K22" s="198"/>
    </row>
    <row r="23" spans="2:19">
      <c r="B23" s="197" t="s">
        <v>414</v>
      </c>
      <c r="C23" s="174" t="s">
        <v>413</v>
      </c>
      <c r="D23" s="174" t="s">
        <v>439</v>
      </c>
      <c r="E23" s="174">
        <v>66</v>
      </c>
      <c r="F23" s="175">
        <v>269.42741783000002</v>
      </c>
      <c r="G23" s="175">
        <v>68.16</v>
      </c>
      <c r="H23" s="196">
        <v>25.297000000000001</v>
      </c>
      <c r="I23" s="196">
        <f>VLOOKUP(C23,'[1]secteur privé'!$A$1:$I$218,6,0)</f>
        <v>39.774999999999999</v>
      </c>
      <c r="J23" s="173">
        <f t="shared" si="0"/>
        <v>-14.477999999999998</v>
      </c>
    </row>
    <row r="24" spans="2:19">
      <c r="B24" s="197" t="s">
        <v>418</v>
      </c>
      <c r="C24" s="174" t="s">
        <v>417</v>
      </c>
      <c r="D24" s="174" t="s">
        <v>439</v>
      </c>
      <c r="E24" s="174">
        <v>37</v>
      </c>
      <c r="F24" s="175">
        <v>260.26577671000001</v>
      </c>
      <c r="G24" s="175">
        <v>138.41999999999999</v>
      </c>
      <c r="H24" s="196">
        <v>53.183999999999997</v>
      </c>
      <c r="I24" s="196">
        <f>VLOOKUP(C24,'[1]secteur privé'!$A$1:$I$218,6,0)</f>
        <v>84.474000000000004</v>
      </c>
      <c r="J24" s="173">
        <f t="shared" si="0"/>
        <v>-31.290000000000006</v>
      </c>
    </row>
    <row r="25" spans="2:19">
      <c r="B25" s="197" t="s">
        <v>388</v>
      </c>
      <c r="C25" s="174" t="s">
        <v>387</v>
      </c>
      <c r="D25" s="174" t="s">
        <v>439</v>
      </c>
      <c r="E25" s="174">
        <v>84</v>
      </c>
      <c r="F25" s="175">
        <v>244.28680421000001</v>
      </c>
      <c r="G25" s="175">
        <v>157.26</v>
      </c>
      <c r="H25" s="196">
        <v>64.375</v>
      </c>
      <c r="I25" s="196">
        <f>VLOOKUP(C25,'[1]secteur privé'!$A$1:$I$218,6,0)</f>
        <v>68.251000000000005</v>
      </c>
      <c r="J25" s="173">
        <f t="shared" si="0"/>
        <v>-3.8760000000000048</v>
      </c>
    </row>
    <row r="26" spans="2:19">
      <c r="B26" s="197" t="s">
        <v>406</v>
      </c>
      <c r="C26" s="174" t="s">
        <v>405</v>
      </c>
      <c r="D26" s="174" t="s">
        <v>439</v>
      </c>
      <c r="E26" s="174">
        <v>55</v>
      </c>
      <c r="F26" s="175">
        <v>191.57239089000001</v>
      </c>
      <c r="G26" s="175">
        <v>87.18</v>
      </c>
      <c r="H26" s="196">
        <v>45.506</v>
      </c>
      <c r="I26" s="196">
        <f>VLOOKUP(C26,'[1]secteur privé'!$A$1:$I$218,6,0)</f>
        <v>64.078000000000003</v>
      </c>
      <c r="J26" s="173">
        <f t="shared" si="0"/>
        <v>-18.572000000000003</v>
      </c>
    </row>
    <row r="27" spans="2:19">
      <c r="B27" s="197" t="s">
        <v>256</v>
      </c>
      <c r="C27" s="174" t="s">
        <v>255</v>
      </c>
      <c r="D27" s="174" t="s">
        <v>439</v>
      </c>
      <c r="E27" s="174">
        <v>27</v>
      </c>
      <c r="F27" s="175">
        <v>183.87991774</v>
      </c>
      <c r="G27" s="175">
        <v>26.02</v>
      </c>
      <c r="H27" s="196">
        <v>14.151</v>
      </c>
      <c r="I27" s="196">
        <f>VLOOKUP(C27,'[1]secteur privé'!$A$1:$I$218,6,0)</f>
        <v>57.302</v>
      </c>
      <c r="J27" s="173">
        <f t="shared" si="0"/>
        <v>-43.150999999999996</v>
      </c>
    </row>
    <row r="28" spans="2:19">
      <c r="B28" s="197" t="s">
        <v>422</v>
      </c>
      <c r="C28" s="174" t="s">
        <v>421</v>
      </c>
      <c r="D28" s="174" t="s">
        <v>439</v>
      </c>
      <c r="E28" s="174">
        <v>20</v>
      </c>
      <c r="F28" s="175">
        <v>157.23245753</v>
      </c>
      <c r="G28" s="175">
        <v>140.91999999999999</v>
      </c>
      <c r="H28" s="196">
        <v>89.622</v>
      </c>
      <c r="I28" s="196">
        <f>VLOOKUP(C28,'[1]secteur privé'!$A$1:$I$218,6,0)</f>
        <v>67.108000000000004</v>
      </c>
      <c r="J28" s="173">
        <f t="shared" si="0"/>
        <v>22.513999999999996</v>
      </c>
    </row>
    <row r="29" spans="2:19">
      <c r="B29" s="197" t="s">
        <v>386</v>
      </c>
      <c r="C29" s="174" t="s">
        <v>385</v>
      </c>
      <c r="D29" s="174" t="s">
        <v>439</v>
      </c>
      <c r="E29" s="174">
        <v>18</v>
      </c>
      <c r="F29" s="175">
        <v>106.08626056</v>
      </c>
      <c r="G29" s="175">
        <v>11.89</v>
      </c>
      <c r="H29" s="196">
        <v>11.209</v>
      </c>
      <c r="I29" s="196">
        <f>VLOOKUP(C29,'[1]secteur privé'!$A$1:$I$218,6,0)</f>
        <v>73.572000000000003</v>
      </c>
      <c r="J29" s="173">
        <f t="shared" si="0"/>
        <v>-62.363</v>
      </c>
    </row>
    <row r="30" spans="2:19">
      <c r="B30" s="197" t="s">
        <v>428</v>
      </c>
      <c r="C30" s="174" t="s">
        <v>427</v>
      </c>
      <c r="D30" s="174" t="s">
        <v>439</v>
      </c>
      <c r="E30" s="174">
        <v>33</v>
      </c>
      <c r="F30" s="175">
        <v>75.778276063999996</v>
      </c>
      <c r="G30" s="175">
        <v>43.03</v>
      </c>
      <c r="H30" s="196">
        <v>56.787999999999997</v>
      </c>
      <c r="I30" s="196">
        <f>VLOOKUP(C30,'[1]secteur privé'!$A$1:$I$218,6,0)</f>
        <v>54.301000000000002</v>
      </c>
      <c r="J30" s="173">
        <f t="shared" si="0"/>
        <v>2.4869999999999948</v>
      </c>
    </row>
    <row r="31" spans="2:19">
      <c r="B31" s="197" t="s">
        <v>346</v>
      </c>
      <c r="C31" s="174" t="s">
        <v>345</v>
      </c>
      <c r="D31" s="174" t="s">
        <v>439</v>
      </c>
      <c r="E31" s="174">
        <v>13</v>
      </c>
      <c r="F31" s="175">
        <v>71.922296244999998</v>
      </c>
      <c r="G31" s="175">
        <v>57.61</v>
      </c>
      <c r="H31" s="196">
        <v>80.097999999999999</v>
      </c>
      <c r="I31" s="196">
        <f>VLOOKUP(C31,'[1]secteur privé'!$A$1:$I$218,6,0)</f>
        <v>58.497</v>
      </c>
      <c r="J31" s="173">
        <f t="shared" si="0"/>
        <v>21.600999999999999</v>
      </c>
    </row>
    <row r="32" spans="2:19">
      <c r="B32" s="197" t="s">
        <v>202</v>
      </c>
      <c r="C32" s="174" t="s">
        <v>201</v>
      </c>
      <c r="D32" s="174" t="s">
        <v>439</v>
      </c>
      <c r="E32" s="174">
        <v>24</v>
      </c>
      <c r="F32" s="175">
        <v>54.051811502</v>
      </c>
      <c r="G32" s="175">
        <v>47.19</v>
      </c>
      <c r="H32" s="196">
        <v>87.311000000000007</v>
      </c>
      <c r="I32" s="196">
        <f>VLOOKUP(C32,'[1]secteur privé'!$A$1:$I$218,6,0)</f>
        <v>82.772000000000006</v>
      </c>
      <c r="J32" s="173">
        <f t="shared" si="0"/>
        <v>4.5390000000000015</v>
      </c>
    </row>
    <row r="33" spans="2:10">
      <c r="B33" s="197" t="s">
        <v>402</v>
      </c>
      <c r="C33" s="174" t="s">
        <v>401</v>
      </c>
      <c r="D33" s="174" t="s">
        <v>439</v>
      </c>
      <c r="E33" s="174">
        <v>15</v>
      </c>
      <c r="F33" s="175">
        <v>43.385104423999998</v>
      </c>
      <c r="G33" s="175">
        <v>10.52</v>
      </c>
      <c r="H33" s="196">
        <v>24.248999999999999</v>
      </c>
      <c r="I33" s="196">
        <f>VLOOKUP(C33,'[1]secteur privé'!$A$1:$I$218,6,0)</f>
        <v>45.875999999999998</v>
      </c>
      <c r="J33" s="173">
        <f t="shared" si="0"/>
        <v>-21.626999999999999</v>
      </c>
    </row>
    <row r="34" spans="2:10">
      <c r="B34" s="197" t="s">
        <v>184</v>
      </c>
      <c r="C34" s="174" t="s">
        <v>183</v>
      </c>
      <c r="D34" s="174" t="s">
        <v>439</v>
      </c>
      <c r="E34" s="174">
        <v>10</v>
      </c>
      <c r="F34" s="175">
        <v>37.547254559000002</v>
      </c>
      <c r="G34" s="175">
        <v>0</v>
      </c>
      <c r="H34" s="196">
        <v>0</v>
      </c>
      <c r="I34" s="196">
        <f>VLOOKUP(C34,'[1]secteur privé'!$A$1:$I$218,6,0)</f>
        <v>67.591999999999999</v>
      </c>
      <c r="J34" s="173">
        <f t="shared" si="0"/>
        <v>-67.591999999999999</v>
      </c>
    </row>
    <row r="35" spans="2:10">
      <c r="B35" s="197" t="s">
        <v>270</v>
      </c>
      <c r="C35" s="174" t="s">
        <v>269</v>
      </c>
      <c r="D35" s="174" t="s">
        <v>439</v>
      </c>
      <c r="E35" s="174">
        <v>8</v>
      </c>
      <c r="F35" s="175">
        <v>33.361418346999997</v>
      </c>
      <c r="G35" s="175">
        <v>16</v>
      </c>
      <c r="H35" s="196">
        <v>47.96</v>
      </c>
      <c r="I35" s="196">
        <f>VLOOKUP(C35,'[1]secteur privé'!$A$1:$I$218,6,0)</f>
        <v>61.662999999999997</v>
      </c>
      <c r="J35" s="173">
        <f t="shared" si="0"/>
        <v>-13.702999999999996</v>
      </c>
    </row>
    <row r="36" spans="2:10">
      <c r="B36" s="197" t="s">
        <v>356</v>
      </c>
      <c r="C36" s="174" t="s">
        <v>355</v>
      </c>
      <c r="D36" s="174" t="s">
        <v>439</v>
      </c>
      <c r="E36" s="174">
        <v>16</v>
      </c>
      <c r="F36" s="175">
        <v>28.366891631000001</v>
      </c>
      <c r="G36" s="175">
        <v>17.940000000000001</v>
      </c>
      <c r="H36" s="196">
        <v>63.241</v>
      </c>
      <c r="I36" s="196">
        <f>VLOOKUP(C36,'[1]secteur privé'!$A$1:$I$218,6,0)</f>
        <v>71.322999999999993</v>
      </c>
      <c r="J36" s="173">
        <f t="shared" si="0"/>
        <v>-8.0819999999999936</v>
      </c>
    </row>
    <row r="37" spans="2:10">
      <c r="B37" s="197" t="s">
        <v>358</v>
      </c>
      <c r="C37" s="174" t="s">
        <v>357</v>
      </c>
      <c r="D37" s="174" t="s">
        <v>439</v>
      </c>
      <c r="E37" s="174">
        <v>17</v>
      </c>
      <c r="F37" s="175">
        <v>27.329106956</v>
      </c>
      <c r="G37" s="175">
        <v>17.48</v>
      </c>
      <c r="H37" s="196">
        <v>63.970999999999997</v>
      </c>
      <c r="I37" s="196">
        <f>VLOOKUP(C37,'[1]secteur privé'!$A$1:$I$218,6,0)</f>
        <v>58.201999999999998</v>
      </c>
      <c r="J37" s="173">
        <f t="shared" si="0"/>
        <v>5.7689999999999984</v>
      </c>
    </row>
    <row r="38" spans="2:10">
      <c r="B38" s="197" t="s">
        <v>350</v>
      </c>
      <c r="C38" s="174" t="s">
        <v>349</v>
      </c>
      <c r="D38" s="174" t="s">
        <v>439</v>
      </c>
      <c r="E38" s="174">
        <v>4</v>
      </c>
      <c r="F38" s="175">
        <v>27</v>
      </c>
      <c r="G38" s="175">
        <v>27</v>
      </c>
      <c r="H38" s="196">
        <v>100</v>
      </c>
      <c r="I38" s="196">
        <f>VLOOKUP(C38,'[1]secteur privé'!$A$1:$I$218,6,0)</f>
        <v>62.512999999999998</v>
      </c>
      <c r="J38" s="173">
        <f t="shared" si="0"/>
        <v>37.487000000000002</v>
      </c>
    </row>
    <row r="39" spans="2:10">
      <c r="B39" s="197" t="s">
        <v>370</v>
      </c>
      <c r="C39" s="174" t="s">
        <v>369</v>
      </c>
      <c r="D39" s="174" t="s">
        <v>439</v>
      </c>
      <c r="E39" s="174">
        <v>16</v>
      </c>
      <c r="F39" s="175">
        <v>24.184140977999999</v>
      </c>
      <c r="G39" s="175">
        <v>9.9499999999999993</v>
      </c>
      <c r="H39" s="196">
        <v>41.140999999999998</v>
      </c>
      <c r="I39" s="196">
        <f>VLOOKUP(C39,'[1]secteur privé'!$A$1:$I$218,6,0)</f>
        <v>49.292000000000002</v>
      </c>
      <c r="J39" s="173">
        <f t="shared" si="0"/>
        <v>-8.1510000000000034</v>
      </c>
    </row>
    <row r="40" spans="2:10">
      <c r="B40" s="197" t="s">
        <v>408</v>
      </c>
      <c r="C40" s="174" t="s">
        <v>407</v>
      </c>
      <c r="D40" s="174" t="s">
        <v>439</v>
      </c>
      <c r="E40" s="174">
        <v>5</v>
      </c>
      <c r="F40" s="175">
        <v>22.553922514</v>
      </c>
      <c r="G40" s="175">
        <v>1.56</v>
      </c>
      <c r="H40" s="196">
        <v>6.8979999999999997</v>
      </c>
      <c r="I40" s="196">
        <f>VLOOKUP(C40,'[1]secteur privé'!$A$1:$I$218,6,0)</f>
        <v>47.506999999999998</v>
      </c>
      <c r="J40" s="173">
        <f t="shared" ref="J40:J71" si="1">H40-I40</f>
        <v>-40.608999999999995</v>
      </c>
    </row>
    <row r="41" spans="2:10">
      <c r="B41" s="197" t="s">
        <v>304</v>
      </c>
      <c r="C41" s="174" t="s">
        <v>303</v>
      </c>
      <c r="D41" s="174" t="s">
        <v>439</v>
      </c>
      <c r="E41" s="174">
        <v>9</v>
      </c>
      <c r="F41" s="175">
        <v>22.392339662000001</v>
      </c>
      <c r="G41" s="175">
        <v>1</v>
      </c>
      <c r="H41" s="196">
        <v>4.4660000000000002</v>
      </c>
      <c r="I41" s="196">
        <f>VLOOKUP(C41,'[1]secteur privé'!$A$1:$I$218,6,0)</f>
        <v>45.984999999999999</v>
      </c>
      <c r="J41" s="173">
        <f t="shared" si="1"/>
        <v>-41.518999999999998</v>
      </c>
    </row>
    <row r="42" spans="2:10">
      <c r="B42" s="197" t="s">
        <v>332</v>
      </c>
      <c r="C42" s="174" t="s">
        <v>331</v>
      </c>
      <c r="D42" s="174" t="s">
        <v>439</v>
      </c>
      <c r="E42" s="174">
        <v>9</v>
      </c>
      <c r="F42" s="175">
        <v>21.277396739</v>
      </c>
      <c r="G42" s="175">
        <v>17.690000000000001</v>
      </c>
      <c r="H42" s="196">
        <v>83.143000000000001</v>
      </c>
      <c r="I42" s="196">
        <f>VLOOKUP(C42,'[1]secteur privé'!$A$1:$I$218,6,0)</f>
        <v>71.293000000000006</v>
      </c>
      <c r="J42" s="173">
        <f t="shared" si="1"/>
        <v>11.849999999999994</v>
      </c>
    </row>
    <row r="43" spans="2:10">
      <c r="B43" s="197" t="s">
        <v>260</v>
      </c>
      <c r="C43" s="174" t="s">
        <v>259</v>
      </c>
      <c r="D43" s="174" t="s">
        <v>439</v>
      </c>
      <c r="E43" s="174">
        <v>6</v>
      </c>
      <c r="F43" s="175">
        <v>21.048369149999999</v>
      </c>
      <c r="G43" s="175">
        <v>21.05</v>
      </c>
      <c r="H43" s="196">
        <v>100</v>
      </c>
      <c r="I43" s="196">
        <f>VLOOKUP(C43,'[1]secteur privé'!$A$1:$I$218,6,0)</f>
        <v>58.921999999999997</v>
      </c>
      <c r="J43" s="173">
        <f t="shared" si="1"/>
        <v>41.078000000000003</v>
      </c>
    </row>
    <row r="44" spans="2:10">
      <c r="B44" s="197" t="s">
        <v>286</v>
      </c>
      <c r="C44" s="174" t="s">
        <v>285</v>
      </c>
      <c r="D44" s="174" t="s">
        <v>439</v>
      </c>
      <c r="E44" s="174">
        <v>9</v>
      </c>
      <c r="F44" s="175">
        <v>20.682235940000002</v>
      </c>
      <c r="G44" s="175">
        <v>11.68</v>
      </c>
      <c r="H44" s="196">
        <v>56.484000000000002</v>
      </c>
      <c r="I44" s="196">
        <f>VLOOKUP(C44,'[1]secteur privé'!$A$1:$I$218,6,0)</f>
        <v>69.802000000000007</v>
      </c>
      <c r="J44" s="173">
        <f t="shared" si="1"/>
        <v>-13.318000000000005</v>
      </c>
    </row>
    <row r="45" spans="2:10">
      <c r="B45" s="197" t="s">
        <v>380</v>
      </c>
      <c r="C45" s="174" t="s">
        <v>379</v>
      </c>
      <c r="D45" s="174" t="s">
        <v>439</v>
      </c>
      <c r="E45" s="174">
        <v>13</v>
      </c>
      <c r="F45" s="175">
        <v>20.156047717</v>
      </c>
      <c r="G45" s="175">
        <v>8.94</v>
      </c>
      <c r="H45" s="196">
        <v>44.363</v>
      </c>
      <c r="I45" s="196">
        <f>VLOOKUP(C45,'[1]secteur privé'!$A$1:$I$218,6,0)</f>
        <v>39.936999999999998</v>
      </c>
      <c r="J45" s="173">
        <f t="shared" si="1"/>
        <v>4.4260000000000019</v>
      </c>
    </row>
    <row r="46" spans="2:10">
      <c r="B46" s="197" t="s">
        <v>382</v>
      </c>
      <c r="C46" s="174" t="s">
        <v>381</v>
      </c>
      <c r="D46" s="174" t="s">
        <v>439</v>
      </c>
      <c r="E46" s="174">
        <v>11</v>
      </c>
      <c r="F46" s="175">
        <v>20.132825768</v>
      </c>
      <c r="G46" s="175">
        <v>6.94</v>
      </c>
      <c r="H46" s="196">
        <v>34.493000000000002</v>
      </c>
      <c r="I46" s="196">
        <f>VLOOKUP(C46,'[1]secteur privé'!$A$1:$I$218,6,0)</f>
        <v>61.481000000000002</v>
      </c>
      <c r="J46" s="173">
        <f t="shared" si="1"/>
        <v>-26.988</v>
      </c>
    </row>
    <row r="47" spans="2:10">
      <c r="B47" s="197" t="s">
        <v>312</v>
      </c>
      <c r="C47" s="174" t="s">
        <v>311</v>
      </c>
      <c r="D47" s="174" t="s">
        <v>439</v>
      </c>
      <c r="E47" s="174">
        <v>5</v>
      </c>
      <c r="F47" s="175">
        <v>18.344552598</v>
      </c>
      <c r="G47" s="175">
        <v>5.59</v>
      </c>
      <c r="H47" s="196">
        <v>30.45</v>
      </c>
      <c r="I47" s="196">
        <f>VLOOKUP(C47,'[1]secteur privé'!$A$1:$I$218,6,0)</f>
        <v>59.747999999999998</v>
      </c>
      <c r="J47" s="173">
        <f t="shared" si="1"/>
        <v>-29.297999999999998</v>
      </c>
    </row>
    <row r="48" spans="2:10">
      <c r="B48" s="197" t="s">
        <v>368</v>
      </c>
      <c r="C48" s="174" t="s">
        <v>367</v>
      </c>
      <c r="D48" s="174" t="s">
        <v>439</v>
      </c>
      <c r="E48" s="174">
        <v>7</v>
      </c>
      <c r="F48" s="175">
        <v>13.906030041999999</v>
      </c>
      <c r="G48" s="175">
        <v>10.91</v>
      </c>
      <c r="H48" s="196">
        <v>78.427000000000007</v>
      </c>
      <c r="I48" s="196">
        <f>VLOOKUP(C48,'[1]secteur privé'!$A$1:$I$218,6,0)</f>
        <v>45.607999999999997</v>
      </c>
      <c r="J48" s="173">
        <f t="shared" si="1"/>
        <v>32.81900000000001</v>
      </c>
    </row>
    <row r="49" spans="2:10">
      <c r="B49" s="197" t="s">
        <v>328</v>
      </c>
      <c r="C49" s="174" t="s">
        <v>327</v>
      </c>
      <c r="D49" s="174" t="s">
        <v>439</v>
      </c>
      <c r="E49" s="174">
        <v>9</v>
      </c>
      <c r="F49" s="175">
        <v>13.303699539</v>
      </c>
      <c r="G49" s="175">
        <v>5.01</v>
      </c>
      <c r="H49" s="196">
        <v>37.691000000000003</v>
      </c>
      <c r="I49" s="196">
        <f>VLOOKUP(C49,'[1]secteur privé'!$A$1:$I$218,6,0)</f>
        <v>44.81</v>
      </c>
      <c r="J49" s="173">
        <f t="shared" si="1"/>
        <v>-7.1189999999999998</v>
      </c>
    </row>
    <row r="50" spans="2:10">
      <c r="B50" s="197" t="s">
        <v>160</v>
      </c>
      <c r="C50" s="174" t="s">
        <v>159</v>
      </c>
      <c r="D50" s="174" t="s">
        <v>439</v>
      </c>
      <c r="E50" s="174">
        <v>6</v>
      </c>
      <c r="F50" s="175">
        <v>12.888623025999999</v>
      </c>
      <c r="G50" s="175">
        <v>7.1</v>
      </c>
      <c r="H50" s="196">
        <v>55.055</v>
      </c>
      <c r="I50" s="196">
        <f>VLOOKUP(C50,'[1]secteur privé'!$A$1:$I$218,6,0)</f>
        <v>57.81</v>
      </c>
      <c r="J50" s="173">
        <f t="shared" si="1"/>
        <v>-2.7550000000000026</v>
      </c>
    </row>
    <row r="51" spans="2:10">
      <c r="B51" s="197" t="s">
        <v>366</v>
      </c>
      <c r="C51" s="174" t="s">
        <v>365</v>
      </c>
      <c r="D51" s="174" t="s">
        <v>439</v>
      </c>
      <c r="E51" s="174">
        <v>6</v>
      </c>
      <c r="F51" s="175">
        <v>12.863566816000001</v>
      </c>
      <c r="G51" s="175">
        <v>3.75</v>
      </c>
      <c r="H51" s="196">
        <v>29.173999999999999</v>
      </c>
      <c r="I51" s="196">
        <f>VLOOKUP(C51,'[1]secteur privé'!$A$1:$I$218,6,0)</f>
        <v>49.857999999999997</v>
      </c>
      <c r="J51" s="173">
        <f t="shared" si="1"/>
        <v>-20.683999999999997</v>
      </c>
    </row>
    <row r="52" spans="2:10">
      <c r="B52" s="197" t="s">
        <v>206</v>
      </c>
      <c r="C52" s="174" t="s">
        <v>205</v>
      </c>
      <c r="D52" s="174" t="s">
        <v>439</v>
      </c>
      <c r="E52" s="174">
        <v>2</v>
      </c>
      <c r="F52" s="175">
        <v>11.431182121000001</v>
      </c>
      <c r="G52" s="175">
        <v>10</v>
      </c>
      <c r="H52" s="196">
        <v>87.48</v>
      </c>
      <c r="I52" s="196">
        <f>VLOOKUP(C52,'[1]secteur privé'!$A$1:$I$218,6,0)</f>
        <v>59.454000000000001</v>
      </c>
      <c r="J52" s="173">
        <f t="shared" si="1"/>
        <v>28.026000000000003</v>
      </c>
    </row>
    <row r="53" spans="2:10">
      <c r="B53" s="197" t="s">
        <v>314</v>
      </c>
      <c r="C53" s="174" t="s">
        <v>313</v>
      </c>
      <c r="D53" s="174" t="s">
        <v>439</v>
      </c>
      <c r="E53" s="174">
        <v>8</v>
      </c>
      <c r="F53" s="175">
        <v>9.553433278</v>
      </c>
      <c r="G53" s="175">
        <v>6.55</v>
      </c>
      <c r="H53" s="196">
        <v>68.597999999999999</v>
      </c>
      <c r="I53" s="196">
        <f>VLOOKUP(C53,'[1]secteur privé'!$A$1:$I$218,6,0)</f>
        <v>78.087999999999994</v>
      </c>
      <c r="J53" s="173">
        <f t="shared" si="1"/>
        <v>-9.4899999999999949</v>
      </c>
    </row>
    <row r="54" spans="2:10">
      <c r="B54" s="197" t="s">
        <v>80</v>
      </c>
      <c r="C54" s="174" t="s">
        <v>79</v>
      </c>
      <c r="D54" s="174" t="s">
        <v>439</v>
      </c>
      <c r="E54" s="174">
        <v>3</v>
      </c>
      <c r="F54" s="175">
        <v>8.8609974539999996</v>
      </c>
      <c r="G54" s="175">
        <v>8.86</v>
      </c>
      <c r="H54" s="196">
        <v>100</v>
      </c>
      <c r="I54" s="196">
        <f>VLOOKUP(C54,'[1]secteur privé'!$A$1:$I$218,6,0)</f>
        <v>77.203999999999994</v>
      </c>
      <c r="J54" s="173">
        <f t="shared" si="1"/>
        <v>22.796000000000006</v>
      </c>
    </row>
    <row r="55" spans="2:10">
      <c r="B55" s="197" t="s">
        <v>290</v>
      </c>
      <c r="C55" s="174" t="s">
        <v>289</v>
      </c>
      <c r="D55" s="174" t="s">
        <v>439</v>
      </c>
      <c r="E55" s="174">
        <v>5</v>
      </c>
      <c r="F55" s="175">
        <v>8.6838007412000007</v>
      </c>
      <c r="G55" s="175">
        <v>1.74</v>
      </c>
      <c r="H55" s="196">
        <v>20.073</v>
      </c>
      <c r="I55" s="196">
        <f>VLOOKUP(C55,'[1]secteur privé'!$A$1:$I$218,6,0)</f>
        <v>68.156999999999996</v>
      </c>
      <c r="J55" s="173">
        <f t="shared" si="1"/>
        <v>-48.083999999999996</v>
      </c>
    </row>
    <row r="56" spans="2:10">
      <c r="B56" s="197" t="s">
        <v>292</v>
      </c>
      <c r="C56" s="174" t="s">
        <v>291</v>
      </c>
      <c r="D56" s="174" t="s">
        <v>439</v>
      </c>
      <c r="E56" s="174">
        <v>2</v>
      </c>
      <c r="F56" s="175">
        <v>8.5336624267999994</v>
      </c>
      <c r="G56" s="175">
        <v>0</v>
      </c>
      <c r="H56" s="196">
        <v>0</v>
      </c>
      <c r="I56" s="196">
        <f>VLOOKUP(C56,'[1]secteur privé'!$A$1:$I$218,6,0)</f>
        <v>48.212000000000003</v>
      </c>
      <c r="J56" s="173">
        <f t="shared" si="1"/>
        <v>-48.212000000000003</v>
      </c>
    </row>
    <row r="57" spans="2:10">
      <c r="B57" s="197" t="s">
        <v>234</v>
      </c>
      <c r="C57" s="174" t="s">
        <v>233</v>
      </c>
      <c r="D57" s="174" t="s">
        <v>439</v>
      </c>
      <c r="E57" s="174">
        <v>4</v>
      </c>
      <c r="F57" s="175">
        <v>8.1861096733000007</v>
      </c>
      <c r="G57" s="175">
        <v>5.34</v>
      </c>
      <c r="H57" s="196">
        <v>65.23</v>
      </c>
      <c r="I57" s="196">
        <f>VLOOKUP(C57,'[1]secteur privé'!$A$1:$I$218,6,0)</f>
        <v>69.081999999999994</v>
      </c>
      <c r="J57" s="173">
        <f t="shared" si="1"/>
        <v>-3.8519999999999897</v>
      </c>
    </row>
    <row r="58" spans="2:10">
      <c r="B58" s="197" t="s">
        <v>322</v>
      </c>
      <c r="C58" s="174" t="s">
        <v>321</v>
      </c>
      <c r="D58" s="174" t="s">
        <v>439</v>
      </c>
      <c r="E58" s="174">
        <v>5</v>
      </c>
      <c r="F58" s="175">
        <v>8.1227355745000001</v>
      </c>
      <c r="G58" s="175">
        <v>2</v>
      </c>
      <c r="H58" s="196">
        <v>24.622</v>
      </c>
      <c r="I58" s="196">
        <f>VLOOKUP(C58,'[1]secteur privé'!$A$1:$I$218,6,0)</f>
        <v>65.328999999999994</v>
      </c>
      <c r="J58" s="173">
        <f t="shared" si="1"/>
        <v>-40.706999999999994</v>
      </c>
    </row>
    <row r="59" spans="2:10">
      <c r="B59" s="197" t="s">
        <v>424</v>
      </c>
      <c r="C59" s="174" t="s">
        <v>423</v>
      </c>
      <c r="D59" s="174" t="s">
        <v>439</v>
      </c>
      <c r="E59" s="174">
        <v>4</v>
      </c>
      <c r="F59" s="175">
        <v>6.3062833061000001</v>
      </c>
      <c r="G59" s="175">
        <v>1.74</v>
      </c>
      <c r="H59" s="196">
        <v>27.64</v>
      </c>
      <c r="I59" s="196">
        <f>VLOOKUP(C59,'[1]secteur privé'!$A$1:$I$218,6,0)</f>
        <v>57.793999999999997</v>
      </c>
      <c r="J59" s="173">
        <f t="shared" si="1"/>
        <v>-30.153999999999996</v>
      </c>
    </row>
    <row r="60" spans="2:10">
      <c r="B60" s="197" t="s">
        <v>376</v>
      </c>
      <c r="C60" s="174" t="s">
        <v>375</v>
      </c>
      <c r="D60" s="174" t="s">
        <v>439</v>
      </c>
      <c r="E60" s="174">
        <v>3</v>
      </c>
      <c r="F60" s="175">
        <v>6.1292804562000001</v>
      </c>
      <c r="G60" s="175">
        <v>1</v>
      </c>
      <c r="H60" s="196">
        <v>16.315000000000001</v>
      </c>
      <c r="I60" s="196">
        <f>VLOOKUP(C60,'[1]secteur privé'!$A$1:$I$218,6,0)</f>
        <v>72.483000000000004</v>
      </c>
      <c r="J60" s="173">
        <f t="shared" si="1"/>
        <v>-56.168000000000006</v>
      </c>
    </row>
    <row r="61" spans="2:10">
      <c r="B61" s="197" t="s">
        <v>447</v>
      </c>
      <c r="C61" s="174" t="s">
        <v>446</v>
      </c>
      <c r="D61" s="174" t="s">
        <v>439</v>
      </c>
      <c r="E61" s="174">
        <v>1</v>
      </c>
      <c r="F61" s="175">
        <v>5.5057575871999997</v>
      </c>
      <c r="G61" s="175">
        <v>0</v>
      </c>
      <c r="H61" s="196">
        <v>0</v>
      </c>
      <c r="I61" s="196">
        <f>VLOOKUP(C61,'[1]secteur privé'!$A$1:$I$218,6,0)</f>
        <v>56.648000000000003</v>
      </c>
      <c r="J61" s="173">
        <f t="shared" si="1"/>
        <v>-56.648000000000003</v>
      </c>
    </row>
    <row r="62" spans="2:10">
      <c r="B62" s="197" t="s">
        <v>352</v>
      </c>
      <c r="C62" s="174" t="s">
        <v>351</v>
      </c>
      <c r="D62" s="174" t="s">
        <v>439</v>
      </c>
      <c r="E62" s="174">
        <v>4</v>
      </c>
      <c r="F62" s="175">
        <v>5.4630311642000002</v>
      </c>
      <c r="G62" s="175">
        <v>4.46</v>
      </c>
      <c r="H62" s="196">
        <v>81.694999999999993</v>
      </c>
      <c r="I62" s="196">
        <f>VLOOKUP(C62,'[1]secteur privé'!$A$1:$I$218,6,0)</f>
        <v>76.73</v>
      </c>
      <c r="J62" s="173">
        <f t="shared" si="1"/>
        <v>4.9649999999999892</v>
      </c>
    </row>
    <row r="63" spans="2:10">
      <c r="B63" s="197" t="s">
        <v>354</v>
      </c>
      <c r="C63" s="174" t="s">
        <v>353</v>
      </c>
      <c r="D63" s="174" t="s">
        <v>439</v>
      </c>
      <c r="E63" s="174">
        <v>3</v>
      </c>
      <c r="F63" s="175">
        <v>5.2645264801999998</v>
      </c>
      <c r="G63" s="175">
        <v>3.26</v>
      </c>
      <c r="H63" s="196">
        <v>62.01</v>
      </c>
      <c r="I63" s="196">
        <f>VLOOKUP(C63,'[1]secteur privé'!$A$1:$I$218,6,0)</f>
        <v>53.942999999999998</v>
      </c>
      <c r="J63" s="173">
        <f t="shared" si="1"/>
        <v>8.0670000000000002</v>
      </c>
    </row>
    <row r="64" spans="2:10">
      <c r="B64" s="197" t="s">
        <v>266</v>
      </c>
      <c r="C64" s="174" t="s">
        <v>265</v>
      </c>
      <c r="D64" s="174" t="s">
        <v>439</v>
      </c>
      <c r="E64" s="174">
        <v>2</v>
      </c>
      <c r="F64" s="175">
        <v>5.1575942060999997</v>
      </c>
      <c r="G64" s="175">
        <v>0</v>
      </c>
      <c r="H64" s="196">
        <v>0</v>
      </c>
      <c r="I64" s="196">
        <f>VLOOKUP(C64,'[1]secteur privé'!$A$1:$I$218,6,0)</f>
        <v>60.951000000000001</v>
      </c>
      <c r="J64" s="173">
        <f t="shared" si="1"/>
        <v>-60.951000000000001</v>
      </c>
    </row>
    <row r="65" spans="2:10">
      <c r="B65" s="197" t="s">
        <v>188</v>
      </c>
      <c r="C65" s="174" t="s">
        <v>187</v>
      </c>
      <c r="D65" s="174" t="s">
        <v>439</v>
      </c>
      <c r="E65" s="174">
        <v>1</v>
      </c>
      <c r="F65" s="175">
        <v>5</v>
      </c>
      <c r="G65" s="175">
        <v>5</v>
      </c>
      <c r="H65" s="196">
        <v>100</v>
      </c>
      <c r="I65" s="196">
        <f>VLOOKUP(C65,'[1]secteur privé'!$A$1:$I$218,6,0)</f>
        <v>32.597999999999999</v>
      </c>
      <c r="J65" s="173">
        <f t="shared" si="1"/>
        <v>67.402000000000001</v>
      </c>
    </row>
    <row r="66" spans="2:10">
      <c r="B66" s="197" t="s">
        <v>445</v>
      </c>
      <c r="C66" s="174" t="s">
        <v>444</v>
      </c>
      <c r="D66" s="174" t="s">
        <v>439</v>
      </c>
      <c r="E66" s="174">
        <v>1</v>
      </c>
      <c r="F66" s="175">
        <v>5</v>
      </c>
      <c r="G66" s="175">
        <v>0</v>
      </c>
      <c r="H66" s="196">
        <v>0</v>
      </c>
      <c r="I66" s="196">
        <f>VLOOKUP(C66,'[1]secteur privé'!$A$1:$I$218,6,0)</f>
        <v>55.698</v>
      </c>
      <c r="J66" s="173">
        <f t="shared" si="1"/>
        <v>-55.698</v>
      </c>
    </row>
    <row r="67" spans="2:10">
      <c r="B67" s="197" t="s">
        <v>420</v>
      </c>
      <c r="C67" s="174" t="s">
        <v>419</v>
      </c>
      <c r="D67" s="174" t="s">
        <v>439</v>
      </c>
      <c r="E67" s="174">
        <v>1</v>
      </c>
      <c r="F67" s="175">
        <v>4.5946866160999997</v>
      </c>
      <c r="G67" s="175">
        <v>4.59</v>
      </c>
      <c r="H67" s="196">
        <v>100</v>
      </c>
      <c r="I67" s="196">
        <f>VLOOKUP(C67,'[1]secteur privé'!$A$1:$I$218,6,0)</f>
        <v>42.366999999999997</v>
      </c>
      <c r="J67" s="173">
        <f t="shared" si="1"/>
        <v>57.633000000000003</v>
      </c>
    </row>
    <row r="68" spans="2:10">
      <c r="B68" s="197" t="s">
        <v>170</v>
      </c>
      <c r="C68" s="174" t="s">
        <v>169</v>
      </c>
      <c r="D68" s="174" t="s">
        <v>439</v>
      </c>
      <c r="E68" s="174">
        <v>3</v>
      </c>
      <c r="F68" s="175">
        <v>4.5632008292000004</v>
      </c>
      <c r="G68" s="175">
        <v>1</v>
      </c>
      <c r="H68" s="196">
        <v>21.914000000000001</v>
      </c>
      <c r="I68" s="196">
        <f>VLOOKUP(C68,'[1]secteur privé'!$A$1:$I$218,6,0)</f>
        <v>24.625</v>
      </c>
      <c r="J68" s="173">
        <f t="shared" si="1"/>
        <v>-2.7109999999999985</v>
      </c>
    </row>
    <row r="69" spans="2:10">
      <c r="B69" s="197" t="s">
        <v>284</v>
      </c>
      <c r="C69" s="174" t="s">
        <v>283</v>
      </c>
      <c r="D69" s="174" t="s">
        <v>439</v>
      </c>
      <c r="E69" s="174">
        <v>4</v>
      </c>
      <c r="F69" s="175">
        <v>4.4493087858999996</v>
      </c>
      <c r="G69" s="175">
        <v>0</v>
      </c>
      <c r="H69" s="196">
        <v>0</v>
      </c>
      <c r="I69" s="196">
        <f>VLOOKUP(C69,'[1]secteur privé'!$A$1:$I$218,6,0)</f>
        <v>65.893000000000001</v>
      </c>
      <c r="J69" s="173">
        <f t="shared" si="1"/>
        <v>-65.893000000000001</v>
      </c>
    </row>
    <row r="70" spans="2:10">
      <c r="B70" s="197" t="s">
        <v>258</v>
      </c>
      <c r="C70" s="174" t="s">
        <v>257</v>
      </c>
      <c r="D70" s="174" t="s">
        <v>439</v>
      </c>
      <c r="E70" s="174">
        <v>2</v>
      </c>
      <c r="F70" s="175">
        <v>4.4096149936</v>
      </c>
      <c r="G70" s="175">
        <v>2.56</v>
      </c>
      <c r="H70" s="196">
        <v>58.128</v>
      </c>
      <c r="I70" s="196">
        <f>VLOOKUP(C70,'[1]secteur privé'!$A$1:$I$218,6,0)</f>
        <v>43.762999999999998</v>
      </c>
      <c r="J70" s="173">
        <f t="shared" si="1"/>
        <v>14.365000000000002</v>
      </c>
    </row>
    <row r="71" spans="2:10">
      <c r="B71" s="197" t="s">
        <v>342</v>
      </c>
      <c r="C71" s="174" t="s">
        <v>341</v>
      </c>
      <c r="D71" s="174" t="s">
        <v>439</v>
      </c>
      <c r="E71" s="174">
        <v>2</v>
      </c>
      <c r="F71" s="175">
        <v>4</v>
      </c>
      <c r="G71" s="175">
        <v>4</v>
      </c>
      <c r="H71" s="196">
        <v>100</v>
      </c>
      <c r="I71" s="196">
        <f>VLOOKUP(C71,'[1]secteur privé'!$A$1:$I$218,6,0)</f>
        <v>72.623999999999995</v>
      </c>
      <c r="J71" s="173">
        <f t="shared" si="1"/>
        <v>27.376000000000005</v>
      </c>
    </row>
    <row r="72" spans="2:10">
      <c r="B72" s="197" t="s">
        <v>194</v>
      </c>
      <c r="C72" s="174" t="s">
        <v>193</v>
      </c>
      <c r="D72" s="174" t="s">
        <v>439</v>
      </c>
      <c r="E72" s="174">
        <v>1</v>
      </c>
      <c r="F72" s="175">
        <v>3.8240047939999999</v>
      </c>
      <c r="G72" s="175">
        <v>3.82</v>
      </c>
      <c r="H72" s="196">
        <v>100</v>
      </c>
      <c r="I72" s="196">
        <f>VLOOKUP(C72,'[1]secteur privé'!$A$1:$I$218,6,0)</f>
        <v>59.661999999999999</v>
      </c>
      <c r="J72" s="173">
        <f t="shared" ref="J72:J103" si="2">H72-I72</f>
        <v>40.338000000000001</v>
      </c>
    </row>
    <row r="73" spans="2:10">
      <c r="B73" s="197" t="s">
        <v>338</v>
      </c>
      <c r="C73" s="174" t="s">
        <v>337</v>
      </c>
      <c r="D73" s="174" t="s">
        <v>439</v>
      </c>
      <c r="E73" s="174">
        <v>2</v>
      </c>
      <c r="F73" s="175">
        <v>3.7029172945000002</v>
      </c>
      <c r="G73" s="175">
        <v>2.52</v>
      </c>
      <c r="H73" s="196">
        <v>68.097999999999999</v>
      </c>
      <c r="I73" s="196">
        <f>VLOOKUP(C73,'[1]secteur privé'!$A$1:$I$218,6,0)</f>
        <v>77.968999999999994</v>
      </c>
      <c r="J73" s="173">
        <f t="shared" si="2"/>
        <v>-9.8709999999999951</v>
      </c>
    </row>
    <row r="74" spans="2:10">
      <c r="B74" s="197" t="s">
        <v>300</v>
      </c>
      <c r="C74" s="174" t="s">
        <v>299</v>
      </c>
      <c r="D74" s="174" t="s">
        <v>439</v>
      </c>
      <c r="E74" s="174">
        <v>1</v>
      </c>
      <c r="F74" s="175">
        <v>3.5580923353</v>
      </c>
      <c r="G74" s="175">
        <v>3.56</v>
      </c>
      <c r="H74" s="196">
        <v>100</v>
      </c>
      <c r="I74" s="196">
        <f>VLOOKUP(C74,'[1]secteur privé'!$A$1:$I$218,6,0)</f>
        <v>60.875</v>
      </c>
      <c r="J74" s="173">
        <f t="shared" si="2"/>
        <v>39.125</v>
      </c>
    </row>
    <row r="75" spans="2:10">
      <c r="B75" s="197" t="s">
        <v>390</v>
      </c>
      <c r="C75" s="174" t="s">
        <v>389</v>
      </c>
      <c r="D75" s="174" t="s">
        <v>439</v>
      </c>
      <c r="E75" s="174">
        <v>1</v>
      </c>
      <c r="F75" s="175">
        <v>3.4434520498999999</v>
      </c>
      <c r="G75" s="175">
        <v>0</v>
      </c>
      <c r="H75" s="196">
        <v>0</v>
      </c>
      <c r="I75" s="196">
        <f>VLOOKUP(C75,'[1]secteur privé'!$A$1:$I$218,6,0)</f>
        <v>52.627000000000002</v>
      </c>
      <c r="J75" s="173">
        <f t="shared" si="2"/>
        <v>-52.627000000000002</v>
      </c>
    </row>
    <row r="76" spans="2:10">
      <c r="B76" s="197" t="s">
        <v>416</v>
      </c>
      <c r="C76" s="174" t="s">
        <v>415</v>
      </c>
      <c r="D76" s="174" t="s">
        <v>439</v>
      </c>
      <c r="E76" s="174">
        <v>2</v>
      </c>
      <c r="F76" s="175">
        <v>3.2294792535000001</v>
      </c>
      <c r="G76" s="175">
        <v>0</v>
      </c>
      <c r="H76" s="196">
        <v>0</v>
      </c>
      <c r="I76" s="196">
        <f>VLOOKUP(C76,'[1]secteur privé'!$A$1:$I$218,6,0)</f>
        <v>55.405000000000001</v>
      </c>
      <c r="J76" s="173">
        <f t="shared" si="2"/>
        <v>-55.405000000000001</v>
      </c>
    </row>
    <row r="77" spans="2:10">
      <c r="B77" s="197" t="s">
        <v>142</v>
      </c>
      <c r="C77" s="174" t="s">
        <v>141</v>
      </c>
      <c r="D77" s="174" t="s">
        <v>439</v>
      </c>
      <c r="E77" s="174">
        <v>2</v>
      </c>
      <c r="F77" s="175">
        <v>3.2285673665000001</v>
      </c>
      <c r="G77" s="175">
        <v>1</v>
      </c>
      <c r="H77" s="196">
        <v>30.972999999999999</v>
      </c>
      <c r="I77" s="196">
        <f>VLOOKUP(C77,'[1]secteur privé'!$A$1:$I$218,6,0)</f>
        <v>72.849000000000004</v>
      </c>
      <c r="J77" s="173">
        <f t="shared" si="2"/>
        <v>-41.876000000000005</v>
      </c>
    </row>
    <row r="78" spans="2:10">
      <c r="B78" s="197" t="s">
        <v>180</v>
      </c>
      <c r="C78" s="174" t="s">
        <v>179</v>
      </c>
      <c r="D78" s="174" t="s">
        <v>439</v>
      </c>
      <c r="E78" s="174">
        <v>2</v>
      </c>
      <c r="F78" s="175">
        <v>3.1283600247000001</v>
      </c>
      <c r="G78" s="175">
        <v>3.13</v>
      </c>
      <c r="H78" s="196">
        <v>100</v>
      </c>
      <c r="I78" s="196">
        <f>VLOOKUP(C78,'[1]secteur privé'!$A$1:$I$218,6,0)</f>
        <v>66.275000000000006</v>
      </c>
      <c r="J78" s="173">
        <f t="shared" si="2"/>
        <v>33.724999999999994</v>
      </c>
    </row>
    <row r="79" spans="2:10">
      <c r="B79" s="197" t="s">
        <v>254</v>
      </c>
      <c r="C79" s="174" t="s">
        <v>253</v>
      </c>
      <c r="D79" s="174" t="s">
        <v>439</v>
      </c>
      <c r="E79" s="174">
        <v>2</v>
      </c>
      <c r="F79" s="175">
        <v>3</v>
      </c>
      <c r="G79" s="175">
        <v>0</v>
      </c>
      <c r="H79" s="196">
        <v>0</v>
      </c>
      <c r="I79" s="196">
        <f>VLOOKUP(C79,'[1]secteur privé'!$A$1:$I$218,6,0)</f>
        <v>68.591999999999999</v>
      </c>
      <c r="J79" s="173">
        <f t="shared" si="2"/>
        <v>-68.591999999999999</v>
      </c>
    </row>
    <row r="80" spans="2:10">
      <c r="B80" s="197" t="s">
        <v>186</v>
      </c>
      <c r="C80" s="174" t="s">
        <v>185</v>
      </c>
      <c r="D80" s="174" t="s">
        <v>439</v>
      </c>
      <c r="E80" s="174">
        <v>3</v>
      </c>
      <c r="F80" s="175">
        <v>3</v>
      </c>
      <c r="G80" s="175">
        <v>1</v>
      </c>
      <c r="H80" s="196">
        <v>33.332999999999998</v>
      </c>
      <c r="I80" s="196">
        <f>VLOOKUP(C80,'[1]secteur privé'!$A$1:$I$218,6,0)</f>
        <v>83.01</v>
      </c>
      <c r="J80" s="173">
        <f t="shared" si="2"/>
        <v>-49.677000000000007</v>
      </c>
    </row>
    <row r="81" spans="2:10">
      <c r="B81" s="197" t="s">
        <v>156</v>
      </c>
      <c r="C81" s="174" t="s">
        <v>155</v>
      </c>
      <c r="D81" s="174" t="s">
        <v>439</v>
      </c>
      <c r="E81" s="174">
        <v>3</v>
      </c>
      <c r="F81" s="175">
        <v>3</v>
      </c>
      <c r="G81" s="175">
        <v>0</v>
      </c>
      <c r="H81" s="196">
        <v>0</v>
      </c>
      <c r="I81" s="196">
        <f>VLOOKUP(C81,'[1]secteur privé'!$A$1:$I$218,6,0)</f>
        <v>47.994999999999997</v>
      </c>
      <c r="J81" s="173">
        <f t="shared" si="2"/>
        <v>-47.994999999999997</v>
      </c>
    </row>
    <row r="82" spans="2:10">
      <c r="B82" s="197" t="s">
        <v>360</v>
      </c>
      <c r="C82" s="174" t="s">
        <v>359</v>
      </c>
      <c r="D82" s="174" t="s">
        <v>439</v>
      </c>
      <c r="E82" s="174">
        <v>1</v>
      </c>
      <c r="F82" s="175">
        <v>3</v>
      </c>
      <c r="G82" s="175">
        <v>0</v>
      </c>
      <c r="H82" s="196">
        <v>0</v>
      </c>
      <c r="I82" s="196">
        <f>VLOOKUP(C82,'[1]secteur privé'!$A$1:$I$218,6,0)</f>
        <v>53.698999999999998</v>
      </c>
      <c r="J82" s="173">
        <f t="shared" si="2"/>
        <v>-53.698999999999998</v>
      </c>
    </row>
    <row r="83" spans="2:10">
      <c r="B83" s="197" t="s">
        <v>262</v>
      </c>
      <c r="C83" s="174" t="s">
        <v>261</v>
      </c>
      <c r="D83" s="174" t="s">
        <v>439</v>
      </c>
      <c r="E83" s="174">
        <v>3</v>
      </c>
      <c r="F83" s="175">
        <v>3</v>
      </c>
      <c r="G83" s="175">
        <v>2</v>
      </c>
      <c r="H83" s="196">
        <v>66.667000000000002</v>
      </c>
      <c r="I83" s="196">
        <f>VLOOKUP(C83,'[1]secteur privé'!$A$1:$I$218,6,0)</f>
        <v>69.143000000000001</v>
      </c>
      <c r="J83" s="173">
        <f t="shared" si="2"/>
        <v>-2.4759999999999991</v>
      </c>
    </row>
    <row r="84" spans="2:10">
      <c r="B84" s="197" t="s">
        <v>443</v>
      </c>
      <c r="C84" s="174" t="s">
        <v>442</v>
      </c>
      <c r="D84" s="174" t="s">
        <v>439</v>
      </c>
      <c r="E84" s="174">
        <v>2</v>
      </c>
      <c r="F84" s="175">
        <v>2.9407182642</v>
      </c>
      <c r="G84" s="175">
        <v>1.94</v>
      </c>
      <c r="H84" s="196">
        <v>65.995000000000005</v>
      </c>
      <c r="I84" s="196">
        <f>VLOOKUP(C84,'[1]secteur privé'!$A$1:$I$218,6,0)</f>
        <v>55.915999999999997</v>
      </c>
      <c r="J84" s="173">
        <f t="shared" si="2"/>
        <v>10.079000000000008</v>
      </c>
    </row>
    <row r="85" spans="2:10">
      <c r="B85" s="197" t="s">
        <v>340</v>
      </c>
      <c r="C85" s="174" t="s">
        <v>339</v>
      </c>
      <c r="D85" s="174" t="s">
        <v>439</v>
      </c>
      <c r="E85" s="174">
        <v>2</v>
      </c>
      <c r="F85" s="175">
        <v>2.9314022713000001</v>
      </c>
      <c r="G85" s="175">
        <v>0</v>
      </c>
      <c r="H85" s="196">
        <v>0</v>
      </c>
      <c r="I85" s="196">
        <f>VLOOKUP(C85,'[1]secteur privé'!$A$1:$I$218,6,0)</f>
        <v>30.71</v>
      </c>
      <c r="J85" s="173">
        <f t="shared" si="2"/>
        <v>-30.71</v>
      </c>
    </row>
    <row r="86" spans="2:10">
      <c r="B86" s="197" t="s">
        <v>348</v>
      </c>
      <c r="C86" s="174" t="s">
        <v>347</v>
      </c>
      <c r="D86" s="174" t="s">
        <v>439</v>
      </c>
      <c r="E86" s="174">
        <v>2</v>
      </c>
      <c r="F86" s="175">
        <v>2.7430824769000002</v>
      </c>
      <c r="G86" s="175">
        <v>1.74</v>
      </c>
      <c r="H86" s="196">
        <v>63.545000000000002</v>
      </c>
      <c r="I86" s="196">
        <f>VLOOKUP(C86,'[1]secteur privé'!$A$1:$I$218,6,0)</f>
        <v>39.167999999999999</v>
      </c>
      <c r="J86" s="173">
        <f t="shared" si="2"/>
        <v>24.377000000000002</v>
      </c>
    </row>
    <row r="87" spans="2:10">
      <c r="B87" s="197" t="s">
        <v>248</v>
      </c>
      <c r="C87" s="174" t="s">
        <v>247</v>
      </c>
      <c r="D87" s="174" t="s">
        <v>439</v>
      </c>
      <c r="E87" s="174">
        <v>2</v>
      </c>
      <c r="F87" s="175">
        <v>2.6933465293999999</v>
      </c>
      <c r="G87" s="175">
        <v>0</v>
      </c>
      <c r="H87" s="196">
        <v>0</v>
      </c>
      <c r="I87" s="196">
        <f>VLOOKUP(C87,'[1]secteur privé'!$A$1:$I$218,6,0)</f>
        <v>62.868000000000002</v>
      </c>
      <c r="J87" s="173">
        <f t="shared" si="2"/>
        <v>-62.868000000000002</v>
      </c>
    </row>
    <row r="88" spans="2:10">
      <c r="B88" s="197" t="s">
        <v>220</v>
      </c>
      <c r="C88" s="174" t="s">
        <v>219</v>
      </c>
      <c r="D88" s="174" t="s">
        <v>439</v>
      </c>
      <c r="E88" s="174">
        <v>1</v>
      </c>
      <c r="F88" s="175">
        <v>2.5632008291999999</v>
      </c>
      <c r="G88" s="175">
        <v>0</v>
      </c>
      <c r="H88" s="196">
        <v>0</v>
      </c>
      <c r="I88" s="196">
        <f>VLOOKUP(C88,'[1]secteur privé'!$A$1:$I$218,6,0)</f>
        <v>50.064</v>
      </c>
      <c r="J88" s="173">
        <f t="shared" si="2"/>
        <v>-50.064</v>
      </c>
    </row>
    <row r="89" spans="2:10">
      <c r="B89" s="197" t="s">
        <v>210</v>
      </c>
      <c r="C89" s="174" t="s">
        <v>209</v>
      </c>
      <c r="D89" s="174" t="s">
        <v>439</v>
      </c>
      <c r="E89" s="174">
        <v>1</v>
      </c>
      <c r="F89" s="175">
        <v>2.3297873140999998</v>
      </c>
      <c r="G89" s="175">
        <v>2.33</v>
      </c>
      <c r="H89" s="196">
        <v>100</v>
      </c>
      <c r="I89" s="196">
        <f>VLOOKUP(C89,'[1]secteur privé'!$A$1:$I$218,6,0)</f>
        <v>69.402000000000001</v>
      </c>
      <c r="J89" s="173">
        <f t="shared" si="2"/>
        <v>30.597999999999999</v>
      </c>
    </row>
    <row r="90" spans="2:10">
      <c r="B90" s="197" t="s">
        <v>250</v>
      </c>
      <c r="C90" s="174" t="s">
        <v>249</v>
      </c>
      <c r="D90" s="174" t="s">
        <v>439</v>
      </c>
      <c r="E90" s="174">
        <v>2</v>
      </c>
      <c r="F90" s="175">
        <v>2.3245203956</v>
      </c>
      <c r="G90" s="175">
        <v>1</v>
      </c>
      <c r="H90" s="196">
        <v>43.02</v>
      </c>
      <c r="I90" s="196">
        <f>VLOOKUP(C90,'[1]secteur privé'!$A$1:$I$218,6,0)</f>
        <v>74.34</v>
      </c>
      <c r="J90" s="173">
        <f t="shared" si="2"/>
        <v>-31.32</v>
      </c>
    </row>
    <row r="91" spans="2:10">
      <c r="B91" s="197" t="s">
        <v>310</v>
      </c>
      <c r="C91" s="174" t="s">
        <v>309</v>
      </c>
      <c r="D91" s="174" t="s">
        <v>439</v>
      </c>
      <c r="E91" s="174">
        <v>1</v>
      </c>
      <c r="F91" s="175">
        <v>2.0490025134000001</v>
      </c>
      <c r="G91" s="175">
        <v>2.0499999999999998</v>
      </c>
      <c r="H91" s="196">
        <v>100</v>
      </c>
      <c r="I91" s="196">
        <f>VLOOKUP(C91,'[1]secteur privé'!$A$1:$I$218,6,0)</f>
        <v>46.808999999999997</v>
      </c>
      <c r="J91" s="173">
        <f t="shared" si="2"/>
        <v>53.191000000000003</v>
      </c>
    </row>
    <row r="92" spans="2:10">
      <c r="B92" s="197" t="s">
        <v>252</v>
      </c>
      <c r="C92" s="174" t="s">
        <v>251</v>
      </c>
      <c r="D92" s="174" t="s">
        <v>439</v>
      </c>
      <c r="E92" s="174">
        <v>1</v>
      </c>
      <c r="F92" s="175">
        <v>2.0490025134000001</v>
      </c>
      <c r="G92" s="175">
        <v>2.0499999999999998</v>
      </c>
      <c r="H92" s="196">
        <v>100</v>
      </c>
      <c r="I92" s="196">
        <f>VLOOKUP(C92,'[1]secteur privé'!$A$1:$I$218,6,0)</f>
        <v>64.646000000000001</v>
      </c>
      <c r="J92" s="173">
        <f t="shared" si="2"/>
        <v>35.353999999999999</v>
      </c>
    </row>
    <row r="93" spans="2:10">
      <c r="B93" s="197" t="s">
        <v>282</v>
      </c>
      <c r="C93" s="174" t="s">
        <v>281</v>
      </c>
      <c r="D93" s="174" t="s">
        <v>439</v>
      </c>
      <c r="E93" s="174">
        <v>1</v>
      </c>
      <c r="F93" s="175">
        <v>2</v>
      </c>
      <c r="G93" s="175">
        <v>0</v>
      </c>
      <c r="H93" s="196">
        <v>0</v>
      </c>
      <c r="I93" s="196">
        <f>VLOOKUP(C93,'[1]secteur privé'!$A$1:$I$218,6,0)</f>
        <v>50.097999999999999</v>
      </c>
      <c r="J93" s="173">
        <f t="shared" si="2"/>
        <v>-50.097999999999999</v>
      </c>
    </row>
    <row r="94" spans="2:10">
      <c r="B94" s="197" t="s">
        <v>216</v>
      </c>
      <c r="C94" s="174" t="s">
        <v>215</v>
      </c>
      <c r="D94" s="174" t="s">
        <v>439</v>
      </c>
      <c r="E94" s="174">
        <v>1</v>
      </c>
      <c r="F94" s="175">
        <v>1.2171087048</v>
      </c>
      <c r="G94" s="175">
        <v>0</v>
      </c>
      <c r="H94" s="196">
        <v>0</v>
      </c>
      <c r="I94" s="196">
        <f>VLOOKUP(C94,'[1]secteur privé'!$A$1:$I$218,6,0)</f>
        <v>44.061999999999998</v>
      </c>
      <c r="J94" s="173">
        <f t="shared" si="2"/>
        <v>-44.061999999999998</v>
      </c>
    </row>
    <row r="95" spans="2:10">
      <c r="B95" s="197" t="s">
        <v>344</v>
      </c>
      <c r="C95" s="174" t="s">
        <v>343</v>
      </c>
      <c r="D95" s="174" t="s">
        <v>439</v>
      </c>
      <c r="E95" s="174">
        <v>1</v>
      </c>
      <c r="F95" s="175">
        <v>1.1763220971999999</v>
      </c>
      <c r="G95" s="175">
        <v>1.18</v>
      </c>
      <c r="H95" s="196">
        <v>100</v>
      </c>
      <c r="I95" s="196">
        <f>VLOOKUP(C95,'[1]secteur privé'!$A$1:$I$218,6,0)</f>
        <v>69.018000000000001</v>
      </c>
      <c r="J95" s="173">
        <f t="shared" si="2"/>
        <v>30.981999999999999</v>
      </c>
    </row>
    <row r="96" spans="2:10">
      <c r="B96" s="197" t="s">
        <v>166</v>
      </c>
      <c r="C96" s="174" t="s">
        <v>165</v>
      </c>
      <c r="D96" s="174" t="s">
        <v>439</v>
      </c>
      <c r="E96" s="174">
        <v>1</v>
      </c>
      <c r="F96" s="175">
        <v>1.1623058176000001</v>
      </c>
      <c r="G96" s="175">
        <v>0</v>
      </c>
      <c r="H96" s="196">
        <v>0</v>
      </c>
      <c r="I96" s="196">
        <f>VLOOKUP(C96,'[1]secteur privé'!$A$1:$I$218,6,0)</f>
        <v>70.545000000000002</v>
      </c>
      <c r="J96" s="173">
        <f t="shared" si="2"/>
        <v>-70.545000000000002</v>
      </c>
    </row>
    <row r="97" spans="2:10">
      <c r="B97" s="197" t="s">
        <v>306</v>
      </c>
      <c r="C97" s="174" t="s">
        <v>305</v>
      </c>
      <c r="D97" s="174" t="s">
        <v>439</v>
      </c>
      <c r="E97" s="174">
        <v>1</v>
      </c>
      <c r="F97" s="175">
        <v>1.1494297737000001</v>
      </c>
      <c r="G97" s="175">
        <v>0</v>
      </c>
      <c r="H97" s="196">
        <v>0</v>
      </c>
      <c r="I97" s="196">
        <f>VLOOKUP(C97,'[1]secteur privé'!$A$1:$I$218,6,0)</f>
        <v>49.603999999999999</v>
      </c>
      <c r="J97" s="173">
        <f t="shared" si="2"/>
        <v>-49.603999999999999</v>
      </c>
    </row>
    <row r="98" spans="2:10">
      <c r="B98" s="197" t="s">
        <v>228</v>
      </c>
      <c r="C98" s="174" t="s">
        <v>227</v>
      </c>
      <c r="D98" s="174" t="s">
        <v>439</v>
      </c>
      <c r="E98" s="174">
        <v>1</v>
      </c>
      <c r="F98" s="175">
        <v>1.1112877178</v>
      </c>
      <c r="G98" s="175">
        <v>0</v>
      </c>
      <c r="H98" s="196">
        <v>0</v>
      </c>
      <c r="I98" s="196">
        <f>VLOOKUP(C98,'[1]secteur privé'!$A$1:$I$218,6,0)</f>
        <v>55.027999999999999</v>
      </c>
      <c r="J98" s="173">
        <f t="shared" si="2"/>
        <v>-55.027999999999999</v>
      </c>
    </row>
    <row r="99" spans="2:10">
      <c r="B99" s="197" t="s">
        <v>196</v>
      </c>
      <c r="C99" s="174" t="s">
        <v>195</v>
      </c>
      <c r="D99" s="174" t="s">
        <v>439</v>
      </c>
      <c r="E99" s="174">
        <v>1</v>
      </c>
      <c r="F99" s="175">
        <v>1</v>
      </c>
      <c r="G99" s="175">
        <v>1</v>
      </c>
      <c r="H99" s="196">
        <v>100</v>
      </c>
      <c r="I99" s="196">
        <f>VLOOKUP(C99,'[1]secteur privé'!$A$1:$I$218,6,0)</f>
        <v>70.364999999999995</v>
      </c>
      <c r="J99" s="173">
        <f t="shared" si="2"/>
        <v>29.635000000000005</v>
      </c>
    </row>
    <row r="100" spans="2:10">
      <c r="B100" s="197" t="s">
        <v>232</v>
      </c>
      <c r="C100" s="174" t="s">
        <v>231</v>
      </c>
      <c r="D100" s="174" t="s">
        <v>439</v>
      </c>
      <c r="E100" s="174">
        <v>1</v>
      </c>
      <c r="F100" s="175">
        <v>1</v>
      </c>
      <c r="G100" s="175">
        <v>1</v>
      </c>
      <c r="H100" s="196">
        <v>100</v>
      </c>
      <c r="I100" s="196">
        <f>VLOOKUP(C100,'[1]secteur privé'!$A$1:$I$218,6,0)</f>
        <v>59.83</v>
      </c>
      <c r="J100" s="173">
        <f t="shared" si="2"/>
        <v>40.17</v>
      </c>
    </row>
    <row r="101" spans="2:10">
      <c r="B101" s="197" t="s">
        <v>278</v>
      </c>
      <c r="C101" s="174" t="s">
        <v>277</v>
      </c>
      <c r="D101" s="174" t="s">
        <v>439</v>
      </c>
      <c r="E101" s="174">
        <v>1</v>
      </c>
      <c r="F101" s="175">
        <v>1</v>
      </c>
      <c r="G101" s="175">
        <v>1</v>
      </c>
      <c r="H101" s="196">
        <v>100</v>
      </c>
      <c r="I101" s="196">
        <f>VLOOKUP(C101,'[1]secteur privé'!$A$1:$I$218,6,0)</f>
        <v>59.003999999999998</v>
      </c>
      <c r="J101" s="173">
        <f t="shared" si="2"/>
        <v>40.996000000000002</v>
      </c>
    </row>
    <row r="102" spans="2:10">
      <c r="B102" s="197" t="s">
        <v>92</v>
      </c>
      <c r="C102" s="174" t="s">
        <v>91</v>
      </c>
      <c r="D102" s="174" t="s">
        <v>439</v>
      </c>
      <c r="E102" s="174">
        <v>1</v>
      </c>
      <c r="F102" s="175">
        <v>1</v>
      </c>
      <c r="G102" s="175">
        <v>0</v>
      </c>
      <c r="H102" s="196">
        <v>0</v>
      </c>
      <c r="I102" s="196">
        <f>VLOOKUP(C102,'[1]secteur privé'!$A$1:$I$218,6,0)</f>
        <v>34.301000000000002</v>
      </c>
      <c r="J102" s="173">
        <f t="shared" si="2"/>
        <v>-34.301000000000002</v>
      </c>
    </row>
    <row r="103" spans="2:10">
      <c r="B103" s="197" t="s">
        <v>298</v>
      </c>
      <c r="C103" s="174" t="s">
        <v>297</v>
      </c>
      <c r="D103" s="174" t="s">
        <v>439</v>
      </c>
      <c r="E103" s="174">
        <v>1</v>
      </c>
      <c r="F103" s="175">
        <v>1</v>
      </c>
      <c r="G103" s="175">
        <v>0</v>
      </c>
      <c r="H103" s="196">
        <v>0</v>
      </c>
      <c r="I103" s="196">
        <f>VLOOKUP(C103,'[1]secteur privé'!$A$1:$I$218,6,0)</f>
        <v>52.353000000000002</v>
      </c>
      <c r="J103" s="173">
        <f t="shared" si="2"/>
        <v>-52.353000000000002</v>
      </c>
    </row>
    <row r="104" spans="2:10">
      <c r="B104" s="195" t="s">
        <v>441</v>
      </c>
      <c r="C104" s="167" t="s">
        <v>440</v>
      </c>
      <c r="D104" s="167" t="s">
        <v>439</v>
      </c>
      <c r="E104" s="167">
        <v>1</v>
      </c>
      <c r="F104" s="168">
        <v>1</v>
      </c>
      <c r="G104" s="168">
        <v>1</v>
      </c>
      <c r="H104" s="194">
        <v>100</v>
      </c>
      <c r="I104" s="194">
        <f>VLOOKUP(C104,'[1]secteur privé'!$A$1:$I$218,6,0)</f>
        <v>69.242999999999995</v>
      </c>
      <c r="J104" s="166">
        <f t="shared" ref="J104" si="3">H104-I104</f>
        <v>30.757000000000005</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6"/>
  <dimension ref="A1:H36"/>
  <sheetViews>
    <sheetView topLeftCell="A4" zoomScale="55" zoomScaleNormal="55" workbookViewId="0">
      <selection activeCell="M11" sqref="M11"/>
    </sheetView>
  </sheetViews>
  <sheetFormatPr baseColWidth="10" defaultRowHeight="14.5"/>
  <sheetData>
    <row r="1" spans="1:8">
      <c r="A1" t="s">
        <v>10</v>
      </c>
      <c r="B1" t="s">
        <v>463</v>
      </c>
    </row>
    <row r="2" spans="1:8">
      <c r="A2" t="s">
        <v>9</v>
      </c>
      <c r="B2" t="s">
        <v>576</v>
      </c>
    </row>
    <row r="3" spans="1:8">
      <c r="A3" t="s">
        <v>66</v>
      </c>
      <c r="B3" t="s">
        <v>462</v>
      </c>
    </row>
    <row r="4" spans="1:8">
      <c r="A4" t="s">
        <v>64</v>
      </c>
      <c r="B4" t="s">
        <v>461</v>
      </c>
      <c r="H4" s="80"/>
    </row>
    <row r="5" spans="1:8" ht="15" thickBot="1"/>
    <row r="6" spans="1:8" ht="59" thickTop="1" thickBot="1">
      <c r="B6" s="422" t="s">
        <v>460</v>
      </c>
      <c r="C6" s="422"/>
      <c r="D6" s="217" t="s">
        <v>459</v>
      </c>
      <c r="E6" s="216" t="s">
        <v>458</v>
      </c>
      <c r="F6" s="216" t="s">
        <v>457</v>
      </c>
      <c r="G6" s="216" t="s">
        <v>456</v>
      </c>
      <c r="H6" s="215" t="s">
        <v>3</v>
      </c>
    </row>
    <row r="7" spans="1:8" ht="15" thickTop="1">
      <c r="B7" s="423">
        <v>2017</v>
      </c>
      <c r="C7" s="148" t="s">
        <v>452</v>
      </c>
      <c r="D7" s="214">
        <v>0.13700000000000001</v>
      </c>
      <c r="E7" s="213">
        <v>5.5E-2</v>
      </c>
      <c r="F7" s="213">
        <v>0.11799999999999999</v>
      </c>
      <c r="G7" s="213">
        <v>2.9000000000000001E-2</v>
      </c>
      <c r="H7" s="212">
        <v>7.6999999999999999E-2</v>
      </c>
    </row>
    <row r="8" spans="1:8">
      <c r="B8" s="421"/>
      <c r="C8" s="144" t="s">
        <v>455</v>
      </c>
      <c r="D8" s="211">
        <v>0.16700000000000001</v>
      </c>
      <c r="E8" s="210">
        <v>6.8000000000000005E-2</v>
      </c>
      <c r="F8" s="210">
        <v>0.11700000000000001</v>
      </c>
      <c r="G8" s="210">
        <v>3.2000000000000001E-2</v>
      </c>
      <c r="H8" s="209">
        <v>0.09</v>
      </c>
    </row>
    <row r="9" spans="1:8">
      <c r="B9" s="421"/>
      <c r="C9" s="144" t="s">
        <v>454</v>
      </c>
      <c r="D9" s="211">
        <v>0.17</v>
      </c>
      <c r="E9" s="210">
        <v>5.8000000000000003E-2</v>
      </c>
      <c r="F9" s="210">
        <v>0.128</v>
      </c>
      <c r="G9" s="210">
        <v>2.5000000000000001E-2</v>
      </c>
      <c r="H9" s="209">
        <v>8.6999999999999994E-2</v>
      </c>
    </row>
    <row r="10" spans="1:8">
      <c r="B10" s="421"/>
      <c r="C10" s="144" t="s">
        <v>453</v>
      </c>
      <c r="D10" s="211">
        <v>0.189</v>
      </c>
      <c r="E10" s="210">
        <v>0.06</v>
      </c>
      <c r="F10" s="210">
        <v>0.13</v>
      </c>
      <c r="G10" s="210">
        <v>2.4E-2</v>
      </c>
      <c r="H10" s="209">
        <v>9.1999999999999998E-2</v>
      </c>
    </row>
    <row r="11" spans="1:8">
      <c r="B11" s="421">
        <v>2018</v>
      </c>
      <c r="C11" s="144" t="s">
        <v>452</v>
      </c>
      <c r="D11" s="211">
        <v>0.17799999999999999</v>
      </c>
      <c r="E11" s="210">
        <v>7.0000000000000007E-2</v>
      </c>
      <c r="F11" s="210">
        <v>0.14499999999999999</v>
      </c>
      <c r="G11" s="210">
        <v>2.9000000000000001E-2</v>
      </c>
      <c r="H11" s="209">
        <v>9.6000000000000002E-2</v>
      </c>
    </row>
    <row r="12" spans="1:8">
      <c r="B12" s="421"/>
      <c r="C12" s="144" t="s">
        <v>455</v>
      </c>
      <c r="D12" s="211">
        <v>0.216</v>
      </c>
      <c r="E12" s="210">
        <v>7.0000000000000007E-2</v>
      </c>
      <c r="F12" s="210">
        <v>0.16900000000000001</v>
      </c>
      <c r="G12" s="210">
        <v>3.4000000000000002E-2</v>
      </c>
      <c r="H12" s="209">
        <v>0.11</v>
      </c>
    </row>
    <row r="13" spans="1:8">
      <c r="B13" s="421"/>
      <c r="C13" s="144" t="s">
        <v>454</v>
      </c>
      <c r="D13" s="211">
        <v>0.219</v>
      </c>
      <c r="E13" s="210">
        <v>7.0000000000000007E-2</v>
      </c>
      <c r="F13" s="210">
        <v>0.18</v>
      </c>
      <c r="G13" s="210">
        <v>3.2000000000000001E-2</v>
      </c>
      <c r="H13" s="209">
        <v>0.112</v>
      </c>
    </row>
    <row r="14" spans="1:8">
      <c r="B14" s="421"/>
      <c r="C14" s="144" t="s">
        <v>453</v>
      </c>
      <c r="D14" s="211">
        <v>0.22</v>
      </c>
      <c r="E14" s="210">
        <v>7.1999999999999995E-2</v>
      </c>
      <c r="F14" s="210">
        <v>0.158</v>
      </c>
      <c r="G14" s="210">
        <v>0.03</v>
      </c>
      <c r="H14" s="209">
        <v>0.109</v>
      </c>
    </row>
    <row r="15" spans="1:8">
      <c r="B15" s="421">
        <v>2019</v>
      </c>
      <c r="C15" s="144" t="s">
        <v>452</v>
      </c>
      <c r="D15" s="211">
        <v>0.24</v>
      </c>
      <c r="E15" s="210">
        <v>7.5999999999999998E-2</v>
      </c>
      <c r="F15" s="210">
        <v>0.192</v>
      </c>
      <c r="G15" s="210">
        <v>0.03</v>
      </c>
      <c r="H15" s="209">
        <v>0.121</v>
      </c>
    </row>
    <row r="16" spans="1:8">
      <c r="B16" s="421"/>
      <c r="C16" s="144" t="s">
        <v>455</v>
      </c>
      <c r="D16" s="211">
        <v>0.26300000000000001</v>
      </c>
      <c r="E16" s="210">
        <v>9.7000000000000003E-2</v>
      </c>
      <c r="F16" s="210">
        <v>0.183</v>
      </c>
      <c r="G16" s="210">
        <v>3.3000000000000002E-2</v>
      </c>
      <c r="H16" s="209">
        <v>0.13400000000000001</v>
      </c>
    </row>
    <row r="17" spans="2:8">
      <c r="B17" s="421"/>
      <c r="C17" s="144" t="s">
        <v>454</v>
      </c>
      <c r="D17" s="211">
        <v>0.29299999999999998</v>
      </c>
      <c r="E17" s="210">
        <v>0.105</v>
      </c>
      <c r="F17" s="210">
        <v>0.191</v>
      </c>
      <c r="G17" s="210">
        <v>4.3999999999999997E-2</v>
      </c>
      <c r="H17" s="209">
        <v>0.14799999999999999</v>
      </c>
    </row>
    <row r="18" spans="2:8">
      <c r="B18" s="421"/>
      <c r="C18" s="144" t="s">
        <v>453</v>
      </c>
      <c r="D18" s="211">
        <v>0.30499999999999999</v>
      </c>
      <c r="E18" s="210">
        <v>0.104</v>
      </c>
      <c r="F18" s="210">
        <v>0.21299999999999999</v>
      </c>
      <c r="G18" s="210">
        <v>3.9E-2</v>
      </c>
      <c r="H18" s="209">
        <v>0.152</v>
      </c>
    </row>
    <row r="19" spans="2:8">
      <c r="B19" s="421">
        <v>2020</v>
      </c>
      <c r="C19" s="144" t="s">
        <v>452</v>
      </c>
      <c r="D19" s="211">
        <v>0.31</v>
      </c>
      <c r="E19" s="210">
        <v>0.106</v>
      </c>
      <c r="F19" s="210">
        <v>0.19</v>
      </c>
      <c r="G19" s="210">
        <v>4.2999999999999997E-2</v>
      </c>
      <c r="H19" s="209">
        <v>0.152</v>
      </c>
    </row>
    <row r="20" spans="2:8">
      <c r="B20" s="421"/>
      <c r="C20" s="144" t="s">
        <v>455</v>
      </c>
      <c r="D20" s="211">
        <v>0.23799999999999999</v>
      </c>
      <c r="E20" s="210">
        <v>0.113</v>
      </c>
      <c r="F20" s="210">
        <v>0.20499999999999999</v>
      </c>
      <c r="G20" s="210">
        <v>3.5000000000000003E-2</v>
      </c>
      <c r="H20" s="209">
        <v>0.13700000000000001</v>
      </c>
    </row>
    <row r="21" spans="2:8">
      <c r="B21" s="421"/>
      <c r="C21" s="144" t="s">
        <v>454</v>
      </c>
      <c r="D21" s="211">
        <v>0.32500000000000001</v>
      </c>
      <c r="E21" s="210">
        <v>0.152</v>
      </c>
      <c r="F21" s="210">
        <v>0.222</v>
      </c>
      <c r="G21" s="210">
        <v>4.4999999999999998E-2</v>
      </c>
      <c r="H21" s="209">
        <v>0.17599999999999999</v>
      </c>
    </row>
    <row r="22" spans="2:8">
      <c r="B22" s="421"/>
      <c r="C22" s="144" t="s">
        <v>453</v>
      </c>
      <c r="D22" s="211">
        <v>0.313</v>
      </c>
      <c r="E22" s="210">
        <v>0.14199999999999999</v>
      </c>
      <c r="F22" s="210">
        <v>0.214</v>
      </c>
      <c r="G22" s="210">
        <v>3.3000000000000002E-2</v>
      </c>
      <c r="H22" s="209">
        <v>0.16600000000000001</v>
      </c>
    </row>
    <row r="23" spans="2:8">
      <c r="B23" s="421">
        <v>2021</v>
      </c>
      <c r="C23" s="144" t="s">
        <v>452</v>
      </c>
      <c r="D23" s="211">
        <v>0.40100000000000002</v>
      </c>
      <c r="E23" s="210">
        <v>0.17199999999999999</v>
      </c>
      <c r="F23" s="210">
        <v>0.219</v>
      </c>
      <c r="G23" s="210">
        <v>4.1000000000000002E-2</v>
      </c>
      <c r="H23" s="209">
        <v>0.2</v>
      </c>
    </row>
    <row r="24" spans="2:8">
      <c r="B24" s="421"/>
      <c r="C24" s="144" t="s">
        <v>455</v>
      </c>
      <c r="D24" s="211">
        <v>0.35399999999999998</v>
      </c>
      <c r="E24" s="210">
        <v>0.14699999999999999</v>
      </c>
      <c r="F24" s="210">
        <v>0.19700000000000001</v>
      </c>
      <c r="G24" s="210">
        <v>4.5999999999999999E-2</v>
      </c>
      <c r="H24" s="209">
        <v>0.17799999999999999</v>
      </c>
    </row>
    <row r="25" spans="2:8">
      <c r="B25" s="421"/>
      <c r="C25" s="144" t="s">
        <v>454</v>
      </c>
      <c r="D25" s="211">
        <v>0.34799999999999998</v>
      </c>
      <c r="E25" s="210">
        <v>0.187</v>
      </c>
      <c r="F25" s="210">
        <v>0.17100000000000001</v>
      </c>
      <c r="G25" s="210">
        <v>7.3999999999999996E-2</v>
      </c>
      <c r="H25" s="209">
        <v>0.19500000000000001</v>
      </c>
    </row>
    <row r="26" spans="2:8">
      <c r="B26" s="421"/>
      <c r="C26" s="144" t="s">
        <v>453</v>
      </c>
      <c r="D26" s="211">
        <v>0.40500000000000003</v>
      </c>
      <c r="E26" s="210">
        <v>0.188</v>
      </c>
      <c r="F26" s="210">
        <v>0.17100000000000001</v>
      </c>
      <c r="G26" s="210">
        <v>7.5999999999999998E-2</v>
      </c>
      <c r="H26" s="209">
        <v>0.20899999999999999</v>
      </c>
    </row>
    <row r="27" spans="2:8">
      <c r="B27" s="421">
        <v>2022</v>
      </c>
      <c r="C27" s="144" t="s">
        <v>452</v>
      </c>
      <c r="D27" s="211">
        <v>0.48199999999999998</v>
      </c>
      <c r="E27" s="210">
        <v>0.218</v>
      </c>
      <c r="F27" s="210">
        <v>0.18099999999999999</v>
      </c>
      <c r="G27" s="210">
        <v>6.5000000000000002E-2</v>
      </c>
      <c r="H27" s="209">
        <v>0.23699999999999999</v>
      </c>
    </row>
    <row r="28" spans="2:8">
      <c r="B28" s="421"/>
      <c r="C28" s="144" t="s">
        <v>455</v>
      </c>
      <c r="D28" s="211">
        <v>0.57299999999999995</v>
      </c>
      <c r="E28" s="210">
        <v>0.189</v>
      </c>
      <c r="F28" s="210">
        <v>0.189</v>
      </c>
      <c r="G28" s="210">
        <v>6.2E-2</v>
      </c>
      <c r="H28" s="209">
        <v>0.248</v>
      </c>
    </row>
    <row r="29" spans="2:8">
      <c r="B29" s="421"/>
      <c r="C29" s="144" t="s">
        <v>454</v>
      </c>
      <c r="D29" s="211">
        <v>0.628</v>
      </c>
      <c r="E29" s="210">
        <v>0.186</v>
      </c>
      <c r="F29" s="210">
        <v>0.17499999999999999</v>
      </c>
      <c r="G29" s="210">
        <v>5.8999999999999997E-2</v>
      </c>
      <c r="H29" s="209">
        <v>0.25800000000000001</v>
      </c>
    </row>
    <row r="30" spans="2:8">
      <c r="B30" s="421"/>
      <c r="C30" s="144" t="s">
        <v>453</v>
      </c>
      <c r="D30" s="211">
        <v>0.72699999999999998</v>
      </c>
      <c r="E30" s="210">
        <v>0.21199999999999999</v>
      </c>
      <c r="F30" s="210">
        <v>0.19</v>
      </c>
      <c r="G30" s="210">
        <v>6.5000000000000002E-2</v>
      </c>
      <c r="H30" s="209">
        <v>0.29399999999999998</v>
      </c>
    </row>
    <row r="31" spans="2:8" ht="15" thickBot="1">
      <c r="B31" s="208">
        <v>2023</v>
      </c>
      <c r="C31" s="141" t="s">
        <v>452</v>
      </c>
      <c r="D31" s="207">
        <v>0.73499999999999999</v>
      </c>
      <c r="E31" s="206">
        <v>0.17299999999999999</v>
      </c>
      <c r="F31" s="206">
        <v>0.19800000000000001</v>
      </c>
      <c r="G31" s="206">
        <v>7.0000000000000007E-2</v>
      </c>
      <c r="H31" s="205">
        <v>0.28399999999999997</v>
      </c>
    </row>
    <row r="32" spans="2:8" ht="15" thickTop="1"/>
    <row r="36" spans="3:7">
      <c r="C36" s="51"/>
      <c r="D36" s="51"/>
      <c r="E36" s="51"/>
      <c r="F36" s="51"/>
      <c r="G36" s="51"/>
    </row>
  </sheetData>
  <mergeCells count="7">
    <mergeCell ref="B27:B30"/>
    <mergeCell ref="B15:B18"/>
    <mergeCell ref="B19:B22"/>
    <mergeCell ref="B23:B26"/>
    <mergeCell ref="B6:C6"/>
    <mergeCell ref="B7:B10"/>
    <mergeCell ref="B11:B1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7"/>
  <dimension ref="A1:Q53"/>
  <sheetViews>
    <sheetView zoomScale="85" zoomScaleNormal="85" workbookViewId="0">
      <selection activeCell="B5" sqref="B5"/>
    </sheetView>
  </sheetViews>
  <sheetFormatPr baseColWidth="10" defaultRowHeight="14.5"/>
  <cols>
    <col min="2" max="2" width="23.90625" customWidth="1"/>
  </cols>
  <sheetData>
    <row r="1" spans="1:17">
      <c r="A1" s="220" t="s">
        <v>471</v>
      </c>
      <c r="B1" s="221" t="s">
        <v>558</v>
      </c>
      <c r="C1" s="221"/>
      <c r="D1" s="221"/>
      <c r="E1" s="221"/>
      <c r="F1" s="221"/>
      <c r="G1" s="221"/>
      <c r="H1" s="221"/>
      <c r="I1" s="221"/>
      <c r="J1" s="221"/>
      <c r="K1" s="222"/>
      <c r="L1" s="222"/>
      <c r="M1" s="222"/>
      <c r="N1" s="221"/>
      <c r="O1" s="221"/>
      <c r="P1" s="221"/>
      <c r="Q1" s="221"/>
    </row>
    <row r="2" spans="1:17">
      <c r="A2" s="220" t="s">
        <v>470</v>
      </c>
      <c r="B2" s="221" t="s">
        <v>538</v>
      </c>
      <c r="C2" s="221"/>
      <c r="D2" s="221"/>
      <c r="E2" s="221"/>
      <c r="F2" s="221"/>
      <c r="G2" s="221"/>
      <c r="H2" s="221"/>
      <c r="I2" s="221"/>
      <c r="J2" s="221"/>
      <c r="K2" s="222"/>
      <c r="L2" s="222"/>
      <c r="M2" s="222"/>
      <c r="N2" s="221"/>
      <c r="O2" s="221"/>
      <c r="P2" s="221"/>
      <c r="Q2" s="221"/>
    </row>
    <row r="3" spans="1:17">
      <c r="A3" s="220" t="s">
        <v>66</v>
      </c>
      <c r="B3" s="221" t="s">
        <v>469</v>
      </c>
      <c r="C3" s="221"/>
      <c r="D3" s="221"/>
      <c r="E3" s="221"/>
      <c r="F3" s="221"/>
      <c r="G3" s="221"/>
      <c r="H3" s="221"/>
      <c r="I3" s="221"/>
      <c r="J3" s="221"/>
      <c r="K3" s="222"/>
      <c r="L3" s="222"/>
      <c r="M3" s="222"/>
      <c r="N3" s="221"/>
      <c r="O3" s="221"/>
      <c r="P3" s="221"/>
      <c r="Q3" s="221"/>
    </row>
    <row r="4" spans="1:17">
      <c r="A4" s="220" t="s">
        <v>468</v>
      </c>
      <c r="B4" s="221" t="s">
        <v>578</v>
      </c>
      <c r="C4" s="221"/>
      <c r="D4" s="221"/>
      <c r="E4" s="221"/>
      <c r="F4" s="221"/>
      <c r="G4" s="221"/>
      <c r="H4" s="221"/>
      <c r="I4" s="221"/>
      <c r="J4" s="221"/>
      <c r="K4" s="222"/>
      <c r="L4" s="222"/>
      <c r="M4" s="222"/>
      <c r="N4" s="221"/>
      <c r="O4" s="221"/>
      <c r="P4" s="221"/>
      <c r="Q4" s="221"/>
    </row>
    <row r="5" spans="1:17">
      <c r="A5" s="220" t="s">
        <v>479</v>
      </c>
      <c r="B5" s="221" t="s">
        <v>577</v>
      </c>
      <c r="C5" s="221"/>
      <c r="D5" s="221"/>
      <c r="E5" s="221"/>
      <c r="F5" s="221"/>
      <c r="G5" s="221"/>
      <c r="H5" s="221"/>
      <c r="I5" s="221"/>
      <c r="J5" s="221"/>
      <c r="K5" s="222"/>
      <c r="L5" s="222"/>
      <c r="M5" s="222"/>
      <c r="N5" s="221"/>
      <c r="O5" s="221"/>
      <c r="P5" s="221"/>
      <c r="Q5" s="221"/>
    </row>
    <row r="6" spans="1:17" ht="15" thickBot="1">
      <c r="A6" s="221"/>
      <c r="C6" s="221"/>
      <c r="D6" s="221"/>
      <c r="E6" s="221"/>
      <c r="F6" s="221"/>
      <c r="G6" s="221"/>
      <c r="H6" s="221"/>
      <c r="I6" s="221"/>
      <c r="J6" s="221"/>
      <c r="K6" s="222"/>
      <c r="L6" s="222"/>
      <c r="M6" s="222"/>
      <c r="N6" s="221"/>
      <c r="O6" s="221"/>
      <c r="P6" s="221"/>
      <c r="Q6" s="221"/>
    </row>
    <row r="7" spans="1:17" ht="15.5" thickTop="1" thickBot="1">
      <c r="A7" s="227"/>
      <c r="B7" s="228"/>
      <c r="C7" s="229">
        <v>2011</v>
      </c>
      <c r="D7" s="230">
        <v>2012</v>
      </c>
      <c r="E7" s="230">
        <v>2013</v>
      </c>
      <c r="F7" s="230">
        <v>2014</v>
      </c>
      <c r="G7" s="230">
        <v>2015</v>
      </c>
      <c r="H7" s="230">
        <v>2016</v>
      </c>
      <c r="I7" s="402">
        <v>2017</v>
      </c>
      <c r="J7" s="230">
        <v>2018</v>
      </c>
      <c r="K7" s="230">
        <v>2019</v>
      </c>
      <c r="L7" s="230">
        <v>2020</v>
      </c>
      <c r="M7" s="230">
        <v>2021</v>
      </c>
      <c r="N7" s="231">
        <v>2022</v>
      </c>
      <c r="O7" s="227"/>
      <c r="P7" s="227"/>
      <c r="Q7" s="227"/>
    </row>
    <row r="8" spans="1:17" ht="15" thickTop="1">
      <c r="A8" s="232"/>
      <c r="B8" s="233" t="s">
        <v>49</v>
      </c>
      <c r="C8" s="67">
        <v>23778</v>
      </c>
      <c r="D8" s="66">
        <v>25003</v>
      </c>
      <c r="E8" s="66">
        <v>29817</v>
      </c>
      <c r="F8" s="66">
        <v>51304</v>
      </c>
      <c r="G8" s="66">
        <v>37407</v>
      </c>
      <c r="H8" s="66">
        <f>44136-500</f>
        <v>43636</v>
      </c>
      <c r="I8" s="403">
        <f>43697-500</f>
        <v>43197</v>
      </c>
      <c r="J8" s="66">
        <f>41950-650</f>
        <v>41300</v>
      </c>
      <c r="K8" s="66">
        <f>40353-700</f>
        <v>39653</v>
      </c>
      <c r="L8" s="66">
        <f>40492-700</f>
        <v>39792</v>
      </c>
      <c r="M8" s="66">
        <f>39881-300+82</f>
        <v>39663</v>
      </c>
      <c r="N8" s="65">
        <v>40340</v>
      </c>
      <c r="O8" s="232"/>
      <c r="P8" s="232"/>
      <c r="Q8" s="232"/>
    </row>
    <row r="9" spans="1:17">
      <c r="A9" s="232"/>
      <c r="B9" s="226" t="s">
        <v>467</v>
      </c>
      <c r="C9" s="396">
        <v>22338</v>
      </c>
      <c r="D9" s="56">
        <v>24971</v>
      </c>
      <c r="E9" s="56">
        <v>28464</v>
      </c>
      <c r="F9" s="56">
        <v>45867</v>
      </c>
      <c r="G9" s="56">
        <v>36999</v>
      </c>
      <c r="H9" s="56">
        <v>40209</v>
      </c>
      <c r="I9" s="404">
        <v>40032.114061056709</v>
      </c>
      <c r="J9" s="56">
        <v>39283.415155079216</v>
      </c>
      <c r="K9" s="56">
        <v>37378</v>
      </c>
      <c r="L9" s="56">
        <v>37550.15577086019</v>
      </c>
      <c r="M9" s="56">
        <f>36742.21348+82+53</f>
        <v>36877.213479999999</v>
      </c>
      <c r="N9" s="397">
        <v>34432.86</v>
      </c>
      <c r="O9" s="232"/>
      <c r="P9" s="232"/>
      <c r="Q9" s="232"/>
    </row>
    <row r="10" spans="1:17">
      <c r="A10" s="232"/>
      <c r="B10" s="226" t="s">
        <v>466</v>
      </c>
      <c r="C10" s="234">
        <f t="shared" ref="C10:N10" si="0">C8-C9</f>
        <v>1440</v>
      </c>
      <c r="D10" s="235">
        <f t="shared" si="0"/>
        <v>32</v>
      </c>
      <c r="E10" s="235">
        <f t="shared" si="0"/>
        <v>1353</v>
      </c>
      <c r="F10" s="235">
        <f t="shared" si="0"/>
        <v>5437</v>
      </c>
      <c r="G10" s="235">
        <f t="shared" si="0"/>
        <v>408</v>
      </c>
      <c r="H10" s="235">
        <f t="shared" si="0"/>
        <v>3427</v>
      </c>
      <c r="I10" s="405">
        <f t="shared" si="0"/>
        <v>3164.885938943291</v>
      </c>
      <c r="J10" s="235">
        <f t="shared" si="0"/>
        <v>2016.5848449207842</v>
      </c>
      <c r="K10" s="235">
        <f t="shared" si="0"/>
        <v>2275</v>
      </c>
      <c r="L10" s="235">
        <f t="shared" si="0"/>
        <v>2241.8442291398096</v>
      </c>
      <c r="M10" s="235">
        <f t="shared" si="0"/>
        <v>2785.7865200000015</v>
      </c>
      <c r="N10" s="236">
        <f t="shared" si="0"/>
        <v>5907.1399999999994</v>
      </c>
      <c r="O10" s="232"/>
      <c r="P10" s="232"/>
      <c r="Q10" s="232"/>
    </row>
    <row r="11" spans="1:17" ht="15" thickBot="1">
      <c r="A11" s="232"/>
      <c r="B11" s="401" t="s">
        <v>465</v>
      </c>
      <c r="C11" s="398">
        <f t="shared" ref="C11:N11" si="1">C10/C8</f>
        <v>6.0560181680545042E-2</v>
      </c>
      <c r="D11" s="399">
        <f t="shared" si="1"/>
        <v>1.2798464184297885E-3</v>
      </c>
      <c r="E11" s="399">
        <f t="shared" si="1"/>
        <v>4.5376798470671095E-2</v>
      </c>
      <c r="F11" s="399">
        <f t="shared" si="1"/>
        <v>0.10597614221113363</v>
      </c>
      <c r="G11" s="399">
        <f t="shared" si="1"/>
        <v>1.0907049482717139E-2</v>
      </c>
      <c r="H11" s="399">
        <f t="shared" si="1"/>
        <v>7.8536071133926119E-2</v>
      </c>
      <c r="I11" s="406">
        <f t="shared" si="1"/>
        <v>7.3266336526686834E-2</v>
      </c>
      <c r="J11" s="399">
        <f t="shared" si="1"/>
        <v>4.8827720215999619E-2</v>
      </c>
      <c r="K11" s="399">
        <f>K10/K8</f>
        <v>5.7372708244016843E-2</v>
      </c>
      <c r="L11" s="399">
        <f t="shared" si="1"/>
        <v>5.633906888670611E-2</v>
      </c>
      <c r="M11" s="399">
        <f t="shared" si="1"/>
        <v>7.0236404709679082E-2</v>
      </c>
      <c r="N11" s="400">
        <f t="shared" si="1"/>
        <v>0.14643381259295982</v>
      </c>
      <c r="O11" s="232"/>
      <c r="P11" s="232"/>
      <c r="Q11" s="232"/>
    </row>
    <row r="12" spans="1:17" ht="15" thickTop="1">
      <c r="A12" s="223"/>
      <c r="B12" s="225"/>
      <c r="C12" s="223"/>
      <c r="D12" s="223"/>
      <c r="E12" s="223"/>
      <c r="F12" s="223"/>
      <c r="G12" s="223"/>
      <c r="H12" s="223"/>
      <c r="I12" s="223"/>
      <c r="J12" s="223"/>
      <c r="K12" s="224"/>
      <c r="L12" s="224"/>
      <c r="M12" s="224"/>
      <c r="N12" s="223"/>
      <c r="O12" s="223"/>
      <c r="P12" s="223"/>
      <c r="Q12" s="223"/>
    </row>
    <row r="13" spans="1:17">
      <c r="A13" s="221"/>
      <c r="B13" s="220"/>
      <c r="C13" s="221"/>
      <c r="D13" s="221"/>
      <c r="E13" s="221"/>
      <c r="F13" s="221"/>
      <c r="G13" s="221"/>
      <c r="H13" s="221"/>
      <c r="I13" s="221"/>
      <c r="J13" s="221"/>
      <c r="K13" s="222"/>
      <c r="L13" s="222"/>
      <c r="M13" s="222"/>
      <c r="N13" s="221"/>
      <c r="O13" s="221"/>
      <c r="P13" s="221"/>
      <c r="Q13" s="221"/>
    </row>
    <row r="14" spans="1:17">
      <c r="A14" s="221"/>
      <c r="B14" s="220"/>
      <c r="C14" s="221"/>
      <c r="D14" s="221"/>
      <c r="E14" s="221"/>
      <c r="F14" s="221"/>
      <c r="G14" s="221"/>
      <c r="H14" s="221"/>
      <c r="I14" s="221"/>
      <c r="J14" s="221"/>
      <c r="K14" s="222"/>
      <c r="L14" s="222"/>
      <c r="M14" s="222"/>
      <c r="N14" s="221"/>
      <c r="O14" s="221"/>
      <c r="P14" s="221"/>
      <c r="Q14" s="221"/>
    </row>
    <row r="15" spans="1:17">
      <c r="A15" s="221"/>
      <c r="B15" s="220"/>
      <c r="C15" s="221"/>
      <c r="D15" s="221"/>
      <c r="E15" s="221"/>
      <c r="F15" s="221"/>
      <c r="G15" s="221"/>
      <c r="H15" s="221"/>
      <c r="I15" s="221"/>
      <c r="J15" s="221"/>
      <c r="K15" s="222"/>
      <c r="L15" s="222"/>
      <c r="M15" s="222"/>
      <c r="N15" s="221"/>
      <c r="O15" s="221"/>
      <c r="P15" s="221"/>
      <c r="Q15" s="221"/>
    </row>
    <row r="16" spans="1:17">
      <c r="A16" s="221"/>
      <c r="B16" s="220"/>
      <c r="C16" s="221"/>
      <c r="D16" s="221"/>
      <c r="E16" s="221"/>
      <c r="F16" s="221"/>
      <c r="G16" s="221"/>
      <c r="H16" s="221"/>
      <c r="I16" s="221"/>
      <c r="J16" s="221"/>
      <c r="K16" s="222"/>
      <c r="L16" s="222"/>
      <c r="M16" s="222"/>
      <c r="N16" s="221"/>
      <c r="O16" s="221"/>
      <c r="P16" s="221"/>
      <c r="Q16" s="221"/>
    </row>
    <row r="17" spans="1:17">
      <c r="A17" s="221"/>
      <c r="B17" s="237"/>
      <c r="C17" s="221"/>
      <c r="D17" s="221"/>
      <c r="E17" s="221"/>
      <c r="F17" s="221"/>
      <c r="G17" s="221"/>
      <c r="H17" s="221"/>
      <c r="I17" s="221"/>
      <c r="J17" s="221"/>
      <c r="K17" s="222"/>
      <c r="L17" s="222"/>
      <c r="M17" s="222"/>
      <c r="N17" s="221"/>
      <c r="O17" s="221"/>
      <c r="P17" s="221"/>
      <c r="Q17" s="221"/>
    </row>
    <row r="18" spans="1:17">
      <c r="A18" s="221"/>
      <c r="B18" s="220"/>
      <c r="C18" s="221"/>
      <c r="D18" s="221"/>
      <c r="E18" s="221"/>
      <c r="F18" s="221"/>
      <c r="G18" s="221"/>
      <c r="H18" s="221"/>
      <c r="I18" s="221"/>
      <c r="J18" s="221"/>
      <c r="K18" s="222"/>
      <c r="L18" s="222"/>
      <c r="M18" s="222"/>
      <c r="N18" s="221"/>
      <c r="O18" s="221"/>
      <c r="P18" s="221"/>
      <c r="Q18" s="221"/>
    </row>
    <row r="19" spans="1:17">
      <c r="A19" s="221"/>
      <c r="B19" s="220"/>
      <c r="C19" s="221"/>
      <c r="D19" s="221"/>
      <c r="E19" s="221"/>
      <c r="F19" s="221"/>
      <c r="G19" s="221"/>
      <c r="H19" s="221"/>
      <c r="I19" s="221"/>
      <c r="J19" s="221"/>
      <c r="K19" s="222"/>
      <c r="L19" s="222"/>
      <c r="M19" s="222"/>
      <c r="N19" s="221"/>
      <c r="O19" s="221"/>
      <c r="P19" s="221"/>
      <c r="Q19" s="221"/>
    </row>
    <row r="20" spans="1:17">
      <c r="A20" s="221"/>
      <c r="B20" s="220"/>
      <c r="C20" s="221"/>
      <c r="D20" s="221"/>
      <c r="E20" s="221"/>
      <c r="F20" s="221"/>
      <c r="G20" s="221"/>
      <c r="H20" s="221"/>
      <c r="I20" s="221"/>
      <c r="J20" s="221"/>
      <c r="K20" s="222"/>
      <c r="L20" s="222"/>
      <c r="M20" s="222"/>
      <c r="N20" s="221"/>
      <c r="O20" s="221"/>
      <c r="P20" s="221"/>
      <c r="Q20" s="221"/>
    </row>
    <row r="21" spans="1:17">
      <c r="A21" s="221"/>
      <c r="B21" s="220"/>
      <c r="C21" s="221"/>
      <c r="D21" s="221"/>
      <c r="E21" s="221"/>
      <c r="F21" s="221"/>
      <c r="G21" s="221"/>
      <c r="H21" s="221"/>
      <c r="I21" s="221"/>
      <c r="J21" s="221"/>
      <c r="K21" s="222"/>
      <c r="L21" s="222"/>
      <c r="M21" s="222"/>
      <c r="N21" s="221"/>
      <c r="O21" s="221"/>
      <c r="P21" s="221"/>
      <c r="Q21" s="221"/>
    </row>
    <row r="22" spans="1:17">
      <c r="A22" s="221"/>
      <c r="B22" s="220"/>
      <c r="C22" s="221"/>
      <c r="D22" s="221"/>
      <c r="E22" s="221"/>
      <c r="F22" s="221"/>
      <c r="G22" s="221"/>
      <c r="H22" s="221"/>
      <c r="I22" s="221"/>
      <c r="J22" s="221"/>
      <c r="K22" s="222"/>
      <c r="L22" s="222"/>
      <c r="M22" s="222"/>
      <c r="N22" s="221"/>
      <c r="O22" s="221"/>
      <c r="P22" s="221"/>
      <c r="Q22" s="221"/>
    </row>
    <row r="23" spans="1:17">
      <c r="A23" s="221"/>
      <c r="B23" s="220"/>
      <c r="C23" s="221"/>
      <c r="D23" s="221"/>
      <c r="E23" s="221"/>
      <c r="F23" s="221"/>
      <c r="G23" s="221"/>
      <c r="H23" s="221"/>
      <c r="I23" s="221"/>
      <c r="J23" s="221"/>
      <c r="K23" s="222"/>
      <c r="L23" s="222"/>
      <c r="M23" s="222"/>
      <c r="N23" s="221"/>
      <c r="O23" s="221"/>
      <c r="P23" s="221"/>
      <c r="Q23" s="221"/>
    </row>
    <row r="24" spans="1:17">
      <c r="A24" s="221"/>
      <c r="B24" s="220"/>
      <c r="C24" s="221"/>
      <c r="D24" s="221"/>
      <c r="E24" s="221"/>
      <c r="F24" s="221"/>
      <c r="G24" s="221"/>
      <c r="H24" s="221"/>
      <c r="I24" s="221"/>
      <c r="J24" s="221"/>
      <c r="K24" s="222"/>
      <c r="L24" s="222"/>
      <c r="M24" s="222"/>
      <c r="N24" s="221"/>
      <c r="O24" s="221"/>
      <c r="P24" s="221"/>
      <c r="Q24" s="221"/>
    </row>
    <row r="25" spans="1:17">
      <c r="A25" s="221"/>
      <c r="B25" s="220"/>
      <c r="C25" s="221"/>
      <c r="D25" s="221"/>
      <c r="E25" s="221"/>
      <c r="F25" s="221"/>
      <c r="G25" s="221"/>
      <c r="H25" s="221"/>
      <c r="I25" s="221"/>
      <c r="J25" s="221"/>
      <c r="K25" s="222"/>
      <c r="L25" s="222"/>
      <c r="M25" s="222"/>
      <c r="N25" s="221"/>
      <c r="O25" s="221"/>
      <c r="P25" s="221"/>
      <c r="Q25" s="221"/>
    </row>
    <row r="26" spans="1:17">
      <c r="A26" s="221"/>
      <c r="B26" s="220"/>
      <c r="C26" s="221"/>
      <c r="D26" s="221"/>
      <c r="E26" s="221"/>
      <c r="F26" s="221"/>
      <c r="G26" s="221"/>
      <c r="H26" s="221"/>
      <c r="I26" s="221"/>
      <c r="J26" s="221"/>
      <c r="K26" s="222"/>
      <c r="L26" s="222"/>
      <c r="M26" s="222"/>
      <c r="N26" s="221"/>
      <c r="O26" s="221"/>
      <c r="P26" s="221"/>
      <c r="Q26" s="221"/>
    </row>
    <row r="27" spans="1:17">
      <c r="A27" s="221"/>
      <c r="B27" s="220"/>
      <c r="C27" s="221"/>
      <c r="D27" s="221"/>
      <c r="E27" s="221"/>
      <c r="F27" s="221"/>
      <c r="G27" s="221"/>
      <c r="H27" s="221"/>
      <c r="I27" s="221"/>
      <c r="J27" s="221"/>
      <c r="K27" s="222"/>
      <c r="L27" s="222"/>
      <c r="M27" s="222"/>
      <c r="N27" s="221"/>
      <c r="O27" s="221"/>
      <c r="P27" s="221"/>
      <c r="Q27" s="221"/>
    </row>
    <row r="28" spans="1:17">
      <c r="A28" s="221"/>
      <c r="B28" s="220"/>
      <c r="C28" s="221"/>
      <c r="D28" s="221"/>
      <c r="E28" s="221"/>
      <c r="F28" s="221"/>
      <c r="G28" s="221"/>
      <c r="H28" s="221"/>
      <c r="I28" s="221"/>
      <c r="J28" s="221"/>
      <c r="K28" s="222"/>
      <c r="L28" s="222"/>
      <c r="M28" s="222"/>
      <c r="N28" s="221"/>
      <c r="O28" s="221"/>
      <c r="P28" s="221"/>
      <c r="Q28" s="221"/>
    </row>
    <row r="29" spans="1:17">
      <c r="A29" s="221"/>
      <c r="B29" s="220"/>
      <c r="C29" s="221"/>
      <c r="D29" s="221"/>
      <c r="E29" s="221"/>
      <c r="F29" s="221"/>
      <c r="G29" s="221"/>
      <c r="H29" s="221"/>
      <c r="I29" s="221"/>
      <c r="J29" s="221"/>
      <c r="K29" s="222"/>
      <c r="L29" s="222"/>
      <c r="M29" s="222"/>
      <c r="N29" s="221"/>
      <c r="O29" s="221"/>
      <c r="P29" s="221"/>
      <c r="Q29" s="221"/>
    </row>
    <row r="30" spans="1:17">
      <c r="A30" s="221"/>
      <c r="B30" s="220"/>
      <c r="C30" s="221"/>
      <c r="D30" s="221"/>
      <c r="E30" s="221"/>
      <c r="F30" s="221"/>
      <c r="G30" s="221"/>
      <c r="H30" s="221"/>
      <c r="I30" s="221"/>
      <c r="J30" s="221"/>
      <c r="K30" s="222"/>
      <c r="L30" s="222"/>
      <c r="M30" s="222"/>
      <c r="N30" s="221"/>
      <c r="O30" s="221"/>
      <c r="P30" s="221"/>
      <c r="Q30" s="221"/>
    </row>
    <row r="31" spans="1:17">
      <c r="A31" s="221"/>
      <c r="B31" s="220"/>
      <c r="C31" s="221"/>
      <c r="D31" s="221"/>
      <c r="E31" s="221"/>
      <c r="F31" s="221"/>
      <c r="G31" s="221"/>
      <c r="H31" s="221"/>
      <c r="I31" s="221"/>
      <c r="J31" s="221"/>
      <c r="K31" s="222"/>
      <c r="L31" s="222"/>
      <c r="M31" s="222"/>
      <c r="N31" s="221"/>
      <c r="O31" s="221"/>
      <c r="P31" s="221"/>
      <c r="Q31" s="221"/>
    </row>
    <row r="32" spans="1:17">
      <c r="A32" s="221"/>
      <c r="B32" s="220"/>
      <c r="C32" s="221"/>
      <c r="D32" s="221"/>
      <c r="E32" s="221"/>
      <c r="F32" s="221"/>
      <c r="G32" s="221"/>
      <c r="H32" s="221"/>
      <c r="I32" s="221"/>
      <c r="J32" s="221"/>
      <c r="K32" s="222"/>
      <c r="L32" s="222"/>
      <c r="M32" s="222"/>
      <c r="N32" s="221"/>
      <c r="O32" s="221"/>
      <c r="P32" s="221"/>
      <c r="Q32" s="221"/>
    </row>
    <row r="33" spans="1:17">
      <c r="A33" s="221"/>
      <c r="B33" s="220"/>
      <c r="C33" s="221"/>
      <c r="D33" s="221"/>
      <c r="E33" s="221"/>
      <c r="F33" s="221"/>
      <c r="G33" s="221"/>
      <c r="H33" s="221"/>
      <c r="I33" s="221"/>
      <c r="J33" s="221"/>
      <c r="K33" s="222"/>
      <c r="L33" s="222"/>
      <c r="M33" s="222"/>
      <c r="N33" s="221"/>
      <c r="O33" s="221"/>
      <c r="P33" s="221"/>
      <c r="Q33" s="221"/>
    </row>
    <row r="34" spans="1:17">
      <c r="A34" s="221"/>
      <c r="B34" s="220"/>
      <c r="C34" s="221"/>
      <c r="D34" s="221"/>
      <c r="E34" s="221"/>
      <c r="F34" s="221"/>
      <c r="G34" s="221"/>
      <c r="H34" s="221"/>
      <c r="I34" s="221"/>
      <c r="J34" s="221"/>
      <c r="K34" s="222"/>
      <c r="L34" s="222"/>
      <c r="M34" s="222"/>
      <c r="N34" s="221"/>
      <c r="O34" s="221"/>
      <c r="P34" s="221"/>
      <c r="Q34" s="221"/>
    </row>
    <row r="35" spans="1:17">
      <c r="A35" s="221"/>
      <c r="B35" s="220"/>
      <c r="C35" s="221"/>
      <c r="D35" s="221"/>
      <c r="E35" s="221"/>
      <c r="F35" s="221"/>
      <c r="G35" s="221"/>
      <c r="H35" s="221"/>
      <c r="I35" s="221"/>
      <c r="J35" s="221"/>
      <c r="K35" s="222"/>
      <c r="L35" s="222"/>
      <c r="M35" s="222"/>
      <c r="N35" s="221"/>
      <c r="O35" s="221"/>
      <c r="P35" s="221"/>
      <c r="Q35" s="221"/>
    </row>
    <row r="36" spans="1:17">
      <c r="A36" s="221"/>
      <c r="B36" s="220"/>
      <c r="C36" s="221"/>
      <c r="D36" s="221"/>
      <c r="E36" s="221"/>
      <c r="F36" s="221"/>
      <c r="G36" s="221"/>
      <c r="H36" s="221"/>
      <c r="I36" s="221"/>
      <c r="J36" s="221"/>
      <c r="K36" s="222"/>
      <c r="L36" s="222"/>
      <c r="M36" s="222"/>
      <c r="N36" s="221"/>
      <c r="O36" s="221"/>
      <c r="P36" s="221"/>
      <c r="Q36" s="221"/>
    </row>
    <row r="37" spans="1:17">
      <c r="A37" s="221"/>
      <c r="B37" s="220"/>
      <c r="C37" s="221"/>
      <c r="D37" s="221"/>
      <c r="E37" s="221"/>
      <c r="F37" s="221"/>
      <c r="G37" s="221"/>
      <c r="H37" s="221"/>
      <c r="I37" s="221"/>
      <c r="J37" s="221"/>
      <c r="K37" s="222"/>
      <c r="L37" s="222"/>
      <c r="M37" s="222"/>
      <c r="N37" s="221"/>
      <c r="O37" s="221"/>
      <c r="P37" s="221"/>
      <c r="Q37" s="221"/>
    </row>
    <row r="38" spans="1:17">
      <c r="A38" s="221"/>
      <c r="B38" s="220"/>
      <c r="C38" s="221"/>
      <c r="D38" s="221"/>
      <c r="E38" s="221"/>
      <c r="F38" s="221"/>
      <c r="G38" s="221"/>
      <c r="H38" s="221"/>
      <c r="I38" s="221"/>
      <c r="J38" s="221"/>
      <c r="K38" s="222"/>
      <c r="L38" s="222"/>
      <c r="M38" s="222"/>
      <c r="N38" s="221"/>
      <c r="O38" s="221"/>
      <c r="P38" s="221"/>
      <c r="Q38" s="221"/>
    </row>
    <row r="39" spans="1:17">
      <c r="A39" s="221"/>
      <c r="B39" s="220"/>
      <c r="C39" s="221"/>
      <c r="D39" s="221"/>
      <c r="E39" s="221"/>
      <c r="F39" s="221"/>
      <c r="G39" s="221"/>
      <c r="H39" s="221"/>
      <c r="I39" s="221"/>
      <c r="J39" s="221"/>
      <c r="K39" s="222"/>
      <c r="L39" s="222"/>
      <c r="M39" s="222"/>
      <c r="N39" s="221"/>
      <c r="O39" s="221"/>
      <c r="P39" s="221"/>
      <c r="Q39" s="221"/>
    </row>
    <row r="40" spans="1:17">
      <c r="A40" s="221"/>
      <c r="B40" s="220"/>
      <c r="C40" s="221"/>
      <c r="D40" s="221"/>
      <c r="E40" s="221"/>
      <c r="F40" s="221"/>
      <c r="G40" s="221"/>
      <c r="H40" s="221"/>
      <c r="I40" s="221"/>
      <c r="J40" s="221"/>
      <c r="K40" s="222"/>
      <c r="L40" s="222"/>
      <c r="M40" s="222"/>
      <c r="N40" s="221"/>
      <c r="O40" s="221"/>
      <c r="P40" s="221"/>
      <c r="Q40" s="221"/>
    </row>
    <row r="41" spans="1:17">
      <c r="A41" s="221"/>
      <c r="B41" s="220"/>
      <c r="C41" s="221"/>
      <c r="D41" s="221"/>
      <c r="E41" s="221"/>
      <c r="F41" s="221"/>
      <c r="G41" s="221"/>
      <c r="H41" s="221"/>
      <c r="I41" s="221"/>
      <c r="J41" s="221"/>
      <c r="K41" s="222"/>
      <c r="L41" s="222"/>
      <c r="M41" s="222"/>
      <c r="N41" s="221"/>
      <c r="O41" s="221"/>
      <c r="P41" s="221"/>
      <c r="Q41" s="221"/>
    </row>
    <row r="42" spans="1:17">
      <c r="A42" s="221"/>
      <c r="B42" s="220"/>
      <c r="C42" s="221"/>
      <c r="D42" s="221"/>
      <c r="E42" s="221"/>
      <c r="F42" s="221"/>
      <c r="G42" s="221"/>
      <c r="H42" s="221"/>
      <c r="I42" s="221"/>
      <c r="J42" s="221"/>
      <c r="K42" s="222"/>
      <c r="L42" s="222"/>
      <c r="M42" s="222"/>
      <c r="N42" s="221"/>
      <c r="O42" s="221"/>
      <c r="P42" s="221"/>
      <c r="Q42" s="221"/>
    </row>
    <row r="43" spans="1:17">
      <c r="A43" s="221"/>
      <c r="B43" s="220"/>
      <c r="C43" s="221"/>
      <c r="D43" s="221"/>
      <c r="E43" s="221"/>
      <c r="F43" s="221"/>
      <c r="G43" s="221"/>
      <c r="H43" s="221"/>
      <c r="I43" s="221"/>
      <c r="J43" s="221"/>
      <c r="K43" s="222"/>
      <c r="L43" s="222"/>
      <c r="M43" s="222"/>
      <c r="N43" s="221"/>
      <c r="O43" s="221"/>
      <c r="P43" s="221"/>
      <c r="Q43" s="221"/>
    </row>
    <row r="44" spans="1:17">
      <c r="A44" s="221"/>
      <c r="B44" s="220"/>
      <c r="C44" s="221"/>
      <c r="D44" s="221"/>
      <c r="E44" s="221"/>
      <c r="F44" s="221"/>
      <c r="G44" s="221"/>
      <c r="H44" s="221"/>
      <c r="I44" s="221"/>
      <c r="J44" s="221"/>
      <c r="K44" s="222"/>
      <c r="L44" s="222"/>
      <c r="M44" s="222"/>
      <c r="N44" s="221"/>
      <c r="O44" s="221"/>
      <c r="P44" s="221"/>
      <c r="Q44" s="221"/>
    </row>
    <row r="45" spans="1:17">
      <c r="A45" s="221"/>
      <c r="B45" s="220"/>
      <c r="C45" s="221"/>
      <c r="D45" s="221"/>
      <c r="E45" s="221"/>
      <c r="F45" s="221"/>
      <c r="G45" s="221"/>
      <c r="H45" s="221"/>
      <c r="I45" s="221"/>
      <c r="J45" s="221"/>
      <c r="K45" s="222"/>
      <c r="L45" s="222"/>
      <c r="M45" s="222"/>
      <c r="N45" s="221"/>
      <c r="O45" s="221"/>
      <c r="P45" s="221"/>
      <c r="Q45" s="221"/>
    </row>
    <row r="46" spans="1:17">
      <c r="A46" s="221"/>
      <c r="B46" s="220"/>
      <c r="C46" s="221"/>
      <c r="D46" s="221"/>
      <c r="E46" s="221"/>
      <c r="F46" s="221"/>
      <c r="G46" s="221"/>
      <c r="H46" s="221"/>
      <c r="I46" s="221"/>
      <c r="J46" s="221"/>
      <c r="K46" s="222"/>
      <c r="L46" s="222"/>
      <c r="M46" s="222"/>
      <c r="N46" s="221"/>
      <c r="O46" s="221"/>
      <c r="P46" s="221"/>
      <c r="Q46" s="221"/>
    </row>
    <row r="47" spans="1:17">
      <c r="A47" s="221"/>
      <c r="B47" s="220"/>
      <c r="C47" s="221"/>
      <c r="D47" s="221"/>
      <c r="E47" s="221"/>
      <c r="F47" s="221"/>
      <c r="G47" s="221"/>
      <c r="H47" s="221"/>
      <c r="I47" s="221"/>
      <c r="J47" s="221"/>
      <c r="K47" s="222"/>
      <c r="L47" s="222"/>
      <c r="M47" s="222"/>
      <c r="N47" s="221"/>
      <c r="O47" s="221"/>
      <c r="P47" s="221"/>
      <c r="Q47" s="221"/>
    </row>
    <row r="48" spans="1:17">
      <c r="A48" s="221"/>
      <c r="B48" s="220"/>
      <c r="C48" s="221"/>
      <c r="D48" s="221"/>
      <c r="E48" s="221"/>
      <c r="F48" s="221"/>
      <c r="G48" s="221"/>
      <c r="H48" s="221"/>
      <c r="I48" s="221"/>
      <c r="J48" s="221"/>
      <c r="K48" s="222"/>
      <c r="L48" s="222"/>
      <c r="M48" s="222"/>
      <c r="N48" s="221"/>
      <c r="O48" s="221"/>
      <c r="P48" s="221"/>
      <c r="Q48" s="221"/>
    </row>
    <row r="49" spans="1:17">
      <c r="A49" s="221"/>
      <c r="B49" s="220"/>
      <c r="C49" s="221"/>
      <c r="D49" s="221"/>
      <c r="E49" s="221"/>
      <c r="F49" s="221"/>
      <c r="G49" s="221"/>
      <c r="H49" s="221"/>
      <c r="I49" s="221"/>
      <c r="J49" s="221"/>
      <c r="K49" s="222"/>
      <c r="L49" s="222"/>
      <c r="M49" s="222"/>
      <c r="N49" s="221"/>
      <c r="O49" s="221"/>
      <c r="P49" s="221"/>
      <c r="Q49" s="221"/>
    </row>
    <row r="50" spans="1:17">
      <c r="A50" s="221"/>
      <c r="B50" s="220"/>
      <c r="C50" s="221"/>
      <c r="D50" s="221"/>
      <c r="E50" s="221"/>
      <c r="F50" s="221"/>
      <c r="G50" s="221"/>
      <c r="H50" s="221"/>
      <c r="I50" s="221"/>
      <c r="J50" s="221"/>
      <c r="K50" s="222"/>
      <c r="L50" s="222"/>
      <c r="M50" s="222"/>
      <c r="N50" s="221"/>
      <c r="O50" s="221"/>
      <c r="P50" s="221"/>
      <c r="Q50" s="221"/>
    </row>
    <row r="51" spans="1:17">
      <c r="A51" s="221"/>
      <c r="B51" s="220"/>
      <c r="C51" s="221"/>
      <c r="D51" s="221"/>
      <c r="E51" s="221"/>
      <c r="F51" s="221"/>
      <c r="G51" s="221"/>
      <c r="H51" s="221"/>
      <c r="I51" s="221"/>
      <c r="J51" s="221"/>
      <c r="K51" s="222"/>
      <c r="L51" s="222"/>
      <c r="M51" s="222"/>
      <c r="N51" s="221"/>
      <c r="O51" s="221"/>
      <c r="P51" s="221"/>
      <c r="Q51" s="221"/>
    </row>
    <row r="52" spans="1:17">
      <c r="A52" s="221"/>
      <c r="B52" s="220"/>
      <c r="C52" s="221"/>
      <c r="D52" s="221"/>
      <c r="E52" s="221"/>
      <c r="F52" s="221"/>
      <c r="G52" s="221"/>
      <c r="H52" s="221"/>
      <c r="I52" s="221"/>
      <c r="J52" s="221"/>
      <c r="K52" s="222"/>
      <c r="L52" s="222"/>
      <c r="M52" s="222"/>
      <c r="N52" s="221"/>
      <c r="O52" s="221"/>
      <c r="P52" s="221"/>
      <c r="Q52" s="221"/>
    </row>
    <row r="53" spans="1:17">
      <c r="A53" s="221"/>
      <c r="B53" s="220"/>
      <c r="C53" s="221"/>
      <c r="D53" s="221"/>
      <c r="E53" s="221"/>
      <c r="F53" s="221"/>
      <c r="G53" s="221"/>
      <c r="H53" s="221"/>
      <c r="I53" s="221"/>
      <c r="J53" s="221"/>
      <c r="K53" s="222"/>
      <c r="L53" s="222"/>
      <c r="M53" s="222"/>
      <c r="N53" s="221"/>
      <c r="O53" s="221"/>
      <c r="P53" s="221"/>
      <c r="Q53" s="221"/>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8"/>
  <dimension ref="A1:AB51"/>
  <sheetViews>
    <sheetView zoomScale="70" zoomScaleNormal="70" workbookViewId="0">
      <selection activeCell="J28" sqref="J28"/>
    </sheetView>
  </sheetViews>
  <sheetFormatPr baseColWidth="10" defaultRowHeight="14.5"/>
  <sheetData>
    <row r="1" spans="1:28">
      <c r="A1" s="220" t="s">
        <v>471</v>
      </c>
      <c r="B1" s="218" t="s">
        <v>587</v>
      </c>
      <c r="C1" s="218"/>
      <c r="D1" s="218"/>
      <c r="E1" s="218"/>
      <c r="F1" s="218"/>
      <c r="G1" s="218"/>
      <c r="H1" s="218"/>
      <c r="I1" s="218"/>
      <c r="J1" s="218"/>
      <c r="K1" s="218"/>
      <c r="L1" s="219"/>
      <c r="M1" s="219"/>
      <c r="N1" s="219"/>
      <c r="O1" s="218"/>
      <c r="P1" s="218"/>
      <c r="Q1" s="218"/>
      <c r="R1" s="218"/>
      <c r="S1" s="218"/>
      <c r="T1" s="218"/>
      <c r="U1" s="218"/>
      <c r="V1" s="218"/>
      <c r="W1" s="218"/>
      <c r="X1" s="218"/>
      <c r="Y1" s="218"/>
      <c r="Z1" s="218"/>
      <c r="AA1" s="218"/>
      <c r="AB1" s="218"/>
    </row>
    <row r="2" spans="1:28">
      <c r="A2" s="220" t="s">
        <v>470</v>
      </c>
      <c r="B2" s="218" t="s">
        <v>531</v>
      </c>
      <c r="C2" s="218"/>
      <c r="D2" s="218"/>
      <c r="E2" s="218"/>
      <c r="F2" s="218"/>
      <c r="G2" s="218"/>
      <c r="H2" s="218"/>
      <c r="I2" s="218"/>
      <c r="J2" s="218"/>
      <c r="K2" s="218"/>
      <c r="L2" s="219"/>
      <c r="M2" s="219"/>
      <c r="N2" s="219"/>
      <c r="O2" s="218"/>
      <c r="P2" s="218"/>
      <c r="Q2" s="218"/>
      <c r="R2" s="218"/>
      <c r="S2" s="218"/>
      <c r="T2" s="218"/>
      <c r="U2" s="218"/>
      <c r="V2" s="218"/>
      <c r="W2" s="218"/>
      <c r="X2" s="218"/>
      <c r="Y2" s="218"/>
      <c r="Z2" s="218"/>
      <c r="AA2" s="218"/>
      <c r="AB2" s="218"/>
    </row>
    <row r="3" spans="1:28">
      <c r="A3" s="220" t="s">
        <v>66</v>
      </c>
      <c r="B3" s="218" t="s">
        <v>534</v>
      </c>
      <c r="C3" s="218"/>
      <c r="D3" s="218"/>
      <c r="E3" s="218"/>
      <c r="F3" s="218"/>
      <c r="G3" s="218"/>
      <c r="H3" s="218"/>
      <c r="I3" s="218"/>
      <c r="J3" s="218"/>
      <c r="K3" s="218"/>
      <c r="L3" s="219"/>
      <c r="M3" s="219"/>
      <c r="N3" s="219"/>
      <c r="O3" s="218"/>
      <c r="P3" s="218"/>
      <c r="Q3" s="218"/>
      <c r="R3" s="218"/>
      <c r="S3" s="218"/>
      <c r="T3" s="218"/>
      <c r="U3" s="218"/>
      <c r="V3" s="218"/>
      <c r="W3" s="218"/>
      <c r="X3" s="218"/>
      <c r="Y3" s="218"/>
      <c r="Z3" s="218"/>
      <c r="AA3" s="218"/>
      <c r="AB3" s="218"/>
    </row>
    <row r="4" spans="1:28">
      <c r="A4" s="220" t="s">
        <v>479</v>
      </c>
      <c r="B4" s="218" t="s">
        <v>532</v>
      </c>
      <c r="C4" s="218"/>
      <c r="D4" s="218"/>
      <c r="E4" s="218"/>
      <c r="F4" s="218"/>
      <c r="G4" s="218"/>
      <c r="H4" s="218"/>
      <c r="I4" s="218"/>
      <c r="J4" s="218"/>
      <c r="K4" s="218"/>
      <c r="L4" s="219"/>
      <c r="M4" s="219"/>
      <c r="N4" s="219"/>
      <c r="O4" s="218"/>
      <c r="P4" s="218"/>
      <c r="Q4" s="218"/>
      <c r="R4" s="218"/>
      <c r="S4" s="218"/>
      <c r="T4" s="218"/>
      <c r="U4" s="218"/>
      <c r="V4" s="218"/>
      <c r="W4" s="218"/>
      <c r="X4" s="218"/>
      <c r="Y4" s="218"/>
      <c r="Z4" s="218"/>
      <c r="AA4" s="218"/>
      <c r="AB4" s="218"/>
    </row>
    <row r="5" spans="1:28">
      <c r="A5" s="220" t="s">
        <v>468</v>
      </c>
      <c r="B5" s="221" t="s">
        <v>579</v>
      </c>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row>
    <row r="6" spans="1:28" ht="15" thickBot="1">
      <c r="A6" s="220"/>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row>
    <row r="7" spans="1:28" ht="15.5" thickTop="1" thickBot="1">
      <c r="A7" s="257"/>
      <c r="B7" s="238"/>
      <c r="C7" s="261" t="s">
        <v>478</v>
      </c>
      <c r="D7" s="260">
        <v>2000</v>
      </c>
      <c r="E7" s="259">
        <v>2001</v>
      </c>
      <c r="F7" s="259">
        <v>2002</v>
      </c>
      <c r="G7" s="259">
        <v>2003</v>
      </c>
      <c r="H7" s="259">
        <v>2004</v>
      </c>
      <c r="I7" s="259">
        <v>2005</v>
      </c>
      <c r="J7" s="259">
        <v>2006</v>
      </c>
      <c r="K7" s="259">
        <v>2007</v>
      </c>
      <c r="L7" s="259">
        <v>2008</v>
      </c>
      <c r="M7" s="259">
        <v>2009</v>
      </c>
      <c r="N7" s="259">
        <v>2010</v>
      </c>
      <c r="O7" s="259">
        <v>2011</v>
      </c>
      <c r="P7" s="259">
        <v>2012</v>
      </c>
      <c r="Q7" s="259">
        <v>2013</v>
      </c>
      <c r="R7" s="259">
        <v>2014</v>
      </c>
      <c r="S7" s="259">
        <v>2015</v>
      </c>
      <c r="T7" s="259">
        <v>2016</v>
      </c>
      <c r="U7" s="259">
        <v>2017</v>
      </c>
      <c r="V7" s="259">
        <v>2018</v>
      </c>
      <c r="W7" s="259">
        <v>2019</v>
      </c>
      <c r="X7" s="259">
        <v>2020</v>
      </c>
      <c r="Y7" s="259">
        <v>2021</v>
      </c>
      <c r="Z7" s="259">
        <v>2022</v>
      </c>
      <c r="AA7" s="259">
        <v>2023</v>
      </c>
      <c r="AB7" s="258">
        <v>2024</v>
      </c>
    </row>
    <row r="8" spans="1:28" ht="15" thickTop="1">
      <c r="A8" s="257"/>
      <c r="B8" s="426" t="s">
        <v>477</v>
      </c>
      <c r="C8" s="256" t="s">
        <v>476</v>
      </c>
      <c r="D8" s="255">
        <v>100</v>
      </c>
      <c r="E8" s="254">
        <v>100</v>
      </c>
      <c r="F8" s="254">
        <v>99.974999999999994</v>
      </c>
      <c r="G8" s="254">
        <v>100</v>
      </c>
      <c r="H8" s="254">
        <v>99.860896445131374</v>
      </c>
      <c r="I8" s="254">
        <v>99.48</v>
      </c>
      <c r="J8" s="254">
        <v>100.17272727272727</v>
      </c>
      <c r="K8" s="254">
        <v>99.963302752293572</v>
      </c>
      <c r="L8" s="254">
        <v>100.12153129430828</v>
      </c>
      <c r="M8" s="254">
        <v>100.2</v>
      </c>
      <c r="N8" s="254">
        <v>100.41428571428571</v>
      </c>
      <c r="O8" s="254">
        <v>99.548387096774192</v>
      </c>
      <c r="P8" s="254">
        <v>99.59208647766674</v>
      </c>
      <c r="Q8" s="254">
        <v>96.373548234178713</v>
      </c>
      <c r="R8" s="254">
        <v>99.270945380662127</v>
      </c>
      <c r="S8" s="254">
        <v>103.13828882463004</v>
      </c>
      <c r="T8" s="254">
        <v>99.054224464060525</v>
      </c>
      <c r="U8" s="254">
        <v>99.960617517328288</v>
      </c>
      <c r="V8" s="254">
        <v>99.677952824440766</v>
      </c>
      <c r="W8" s="254">
        <v>98.2</v>
      </c>
      <c r="X8" s="254">
        <v>100.64183691918279</v>
      </c>
      <c r="Y8" s="254">
        <v>98.4</v>
      </c>
      <c r="Z8" s="254">
        <v>83</v>
      </c>
      <c r="AA8" s="254">
        <v>90</v>
      </c>
      <c r="AB8" s="253">
        <v>88.3</v>
      </c>
    </row>
    <row r="9" spans="1:28">
      <c r="A9" s="245"/>
      <c r="B9" s="424"/>
      <c r="C9" s="250" t="s">
        <v>475</v>
      </c>
      <c r="D9" s="249">
        <v>107.52024681835711</v>
      </c>
      <c r="E9" s="248">
        <v>113.73561213812347</v>
      </c>
      <c r="F9" s="248">
        <v>106.28354725787631</v>
      </c>
      <c r="G9" s="248">
        <v>96.347724620770123</v>
      </c>
      <c r="H9" s="248">
        <v>99.148225469728601</v>
      </c>
      <c r="I9" s="248">
        <v>98.820037105751396</v>
      </c>
      <c r="J9" s="248">
        <v>99.569230769230771</v>
      </c>
      <c r="K9" s="248">
        <v>99.620512820512815</v>
      </c>
      <c r="L9" s="248">
        <v>99.592814371257489</v>
      </c>
      <c r="M9" s="248">
        <v>99.568862275449106</v>
      </c>
      <c r="N9" s="248">
        <v>99.240963855421683</v>
      </c>
      <c r="O9" s="248">
        <v>88.181268882175232</v>
      </c>
      <c r="P9" s="248">
        <v>90.042143287176401</v>
      </c>
      <c r="Q9" s="248">
        <v>85.637697516930018</v>
      </c>
      <c r="R9" s="248">
        <v>77.903303015797036</v>
      </c>
      <c r="S9" s="248">
        <v>86.707907050519466</v>
      </c>
      <c r="T9" s="248">
        <v>86.970387243735757</v>
      </c>
      <c r="U9" s="248">
        <v>85.605828220858896</v>
      </c>
      <c r="V9" s="248">
        <v>93.575631049535019</v>
      </c>
      <c r="W9" s="248">
        <v>90.3</v>
      </c>
      <c r="X9" s="248">
        <v>93.126843657817105</v>
      </c>
      <c r="Y9" s="248">
        <v>93.5</v>
      </c>
      <c r="Z9" s="248">
        <v>78.7</v>
      </c>
      <c r="AA9" s="252">
        <v>84</v>
      </c>
      <c r="AB9" s="251">
        <v>88.3</v>
      </c>
    </row>
    <row r="10" spans="1:28">
      <c r="A10" s="245"/>
      <c r="B10" s="424" t="s">
        <v>474</v>
      </c>
      <c r="C10" s="250" t="s">
        <v>473</v>
      </c>
      <c r="D10" s="249"/>
      <c r="E10" s="248"/>
      <c r="F10" s="248"/>
      <c r="G10" s="248"/>
      <c r="H10" s="248"/>
      <c r="I10" s="248"/>
      <c r="J10" s="248"/>
      <c r="K10" s="248"/>
      <c r="L10" s="248"/>
      <c r="M10" s="248"/>
      <c r="N10" s="247">
        <v>92.92307692307692</v>
      </c>
      <c r="O10" s="247">
        <v>88.34688346883469</v>
      </c>
      <c r="P10" s="247">
        <v>94.730538922155688</v>
      </c>
      <c r="Q10" s="247">
        <v>91.578947368421055</v>
      </c>
      <c r="R10" s="247">
        <v>92.79069767441861</v>
      </c>
      <c r="S10" s="247">
        <v>97.604790419161674</v>
      </c>
      <c r="T10" s="247">
        <v>97.14625445897741</v>
      </c>
      <c r="U10" s="247">
        <v>99.234972677595621</v>
      </c>
      <c r="V10" s="247">
        <v>100</v>
      </c>
      <c r="W10" s="247">
        <v>95.5</v>
      </c>
      <c r="X10" s="247">
        <v>99.3</v>
      </c>
      <c r="Y10" s="247">
        <v>100.4</v>
      </c>
      <c r="Z10" s="247">
        <v>95.3</v>
      </c>
      <c r="AA10" s="247">
        <v>99</v>
      </c>
      <c r="AB10" s="246"/>
    </row>
    <row r="11" spans="1:28" ht="15" thickBot="1">
      <c r="A11" s="245"/>
      <c r="B11" s="425"/>
      <c r="C11" s="244" t="s">
        <v>472</v>
      </c>
      <c r="D11" s="243">
        <v>48.432432432432435</v>
      </c>
      <c r="E11" s="242">
        <v>59.621621621621621</v>
      </c>
      <c r="F11" s="242">
        <v>58.153153153153156</v>
      </c>
      <c r="G11" s="242">
        <v>58.063063063063062</v>
      </c>
      <c r="H11" s="242">
        <v>70.61252580867172</v>
      </c>
      <c r="I11" s="242">
        <v>82.84615384615384</v>
      </c>
      <c r="J11" s="242">
        <v>78.446771378708547</v>
      </c>
      <c r="K11" s="242">
        <v>70.846394984326025</v>
      </c>
      <c r="L11" s="242">
        <v>65.702479338842977</v>
      </c>
      <c r="M11" s="242">
        <v>91.881443298969074</v>
      </c>
      <c r="N11" s="242">
        <v>59.611111111111114</v>
      </c>
      <c r="O11" s="242">
        <v>65.916666666666671</v>
      </c>
      <c r="P11" s="242">
        <v>77.63636363636364</v>
      </c>
      <c r="Q11" s="242">
        <v>86.545454545454547</v>
      </c>
      <c r="R11" s="242">
        <v>79.488204718112755</v>
      </c>
      <c r="S11" s="242">
        <v>90.689655172413794</v>
      </c>
      <c r="T11" s="242">
        <v>88.666666666666671</v>
      </c>
      <c r="U11" s="242">
        <v>91.111111111111114</v>
      </c>
      <c r="V11" s="242">
        <v>98.25</v>
      </c>
      <c r="W11" s="242">
        <v>96</v>
      </c>
      <c r="X11" s="242">
        <v>97.407407407407405</v>
      </c>
      <c r="Y11" s="242">
        <v>96.6</v>
      </c>
      <c r="Z11" s="242">
        <v>93.3</v>
      </c>
      <c r="AA11" s="242">
        <v>98</v>
      </c>
      <c r="AB11" s="241"/>
    </row>
    <row r="12" spans="1:28" ht="15" thickTop="1">
      <c r="A12" s="218"/>
      <c r="B12" s="218"/>
      <c r="C12" s="218"/>
      <c r="D12" s="240">
        <v>100</v>
      </c>
      <c r="E12" s="240">
        <v>100</v>
      </c>
      <c r="F12" s="240">
        <v>100</v>
      </c>
      <c r="G12" s="240">
        <v>100</v>
      </c>
      <c r="H12" s="240">
        <v>100</v>
      </c>
      <c r="I12" s="240">
        <v>100</v>
      </c>
      <c r="J12" s="240">
        <v>100</v>
      </c>
      <c r="K12" s="240">
        <v>100</v>
      </c>
      <c r="L12" s="240">
        <v>100</v>
      </c>
      <c r="M12" s="240">
        <v>100</v>
      </c>
      <c r="N12" s="240">
        <v>100</v>
      </c>
      <c r="O12" s="240">
        <v>100</v>
      </c>
      <c r="P12" s="240">
        <v>100</v>
      </c>
      <c r="Q12" s="240">
        <v>100</v>
      </c>
      <c r="R12" s="240">
        <v>100</v>
      </c>
      <c r="S12" s="240">
        <v>100</v>
      </c>
      <c r="T12" s="240">
        <v>100</v>
      </c>
      <c r="U12" s="240">
        <v>100</v>
      </c>
      <c r="V12" s="240">
        <v>100</v>
      </c>
      <c r="W12" s="240">
        <v>100</v>
      </c>
      <c r="X12" s="240">
        <v>100</v>
      </c>
      <c r="Y12" s="240">
        <v>100</v>
      </c>
      <c r="Z12" s="240">
        <v>100</v>
      </c>
      <c r="AA12" s="240">
        <v>100</v>
      </c>
      <c r="AB12" s="240">
        <v>100</v>
      </c>
    </row>
    <row r="13" spans="1:28">
      <c r="A13" s="218"/>
      <c r="B13" s="218"/>
      <c r="C13" s="218"/>
      <c r="D13" s="218"/>
      <c r="E13" s="218"/>
      <c r="F13" s="239"/>
      <c r="G13" s="239"/>
      <c r="H13" s="239"/>
      <c r="I13" s="239"/>
      <c r="J13" s="239"/>
      <c r="K13" s="239"/>
      <c r="L13" s="218"/>
      <c r="M13" s="218"/>
      <c r="N13" s="218"/>
      <c r="O13" s="218"/>
      <c r="P13" s="218"/>
      <c r="Q13" s="218"/>
      <c r="R13" s="218"/>
      <c r="S13" s="218"/>
      <c r="T13" s="218"/>
      <c r="U13" s="218"/>
      <c r="V13" s="218"/>
      <c r="W13" s="218"/>
      <c r="X13" s="218"/>
      <c r="Y13" s="218"/>
      <c r="Z13" s="218"/>
      <c r="AA13" s="218"/>
      <c r="AB13" s="218"/>
    </row>
    <row r="14" spans="1:28">
      <c r="A14" s="238"/>
      <c r="B14" s="238"/>
      <c r="C14" s="238"/>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238"/>
      <c r="AB14" s="238"/>
    </row>
    <row r="15" spans="1:28">
      <c r="A15" s="238"/>
      <c r="B15" s="238"/>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row>
    <row r="16" spans="1:28">
      <c r="A16" s="238"/>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row>
    <row r="17" spans="1:28">
      <c r="A17" s="238"/>
      <c r="B17" s="238"/>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row>
    <row r="18" spans="1:28">
      <c r="A18" s="238"/>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row>
    <row r="19" spans="1:28">
      <c r="A19" s="238"/>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row>
    <row r="20" spans="1:28">
      <c r="A20" s="238"/>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row>
    <row r="21" spans="1:28">
      <c r="A21" s="238"/>
      <c r="B21" s="238"/>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row>
    <row r="22" spans="1:28">
      <c r="A22" s="238"/>
      <c r="B22" s="238"/>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row>
    <row r="23" spans="1:28">
      <c r="A23" s="238"/>
      <c r="B23" s="238"/>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row>
    <row r="24" spans="1:28">
      <c r="A24" s="238"/>
      <c r="B24" s="238"/>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row>
    <row r="25" spans="1:28">
      <c r="A25" s="238"/>
      <c r="B25" s="238"/>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row>
    <row r="26" spans="1:28">
      <c r="A26" s="238"/>
      <c r="B26" s="238"/>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row>
    <row r="27" spans="1:28">
      <c r="A27" s="238"/>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row>
    <row r="28" spans="1:28">
      <c r="A28" s="238"/>
      <c r="B28" s="238"/>
      <c r="C28" s="238"/>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row>
    <row r="29" spans="1:28">
      <c r="A29" s="238"/>
      <c r="B29" s="238"/>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row>
    <row r="30" spans="1:28">
      <c r="A30" s="238"/>
      <c r="B30" s="238"/>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row>
    <row r="31" spans="1:28">
      <c r="A31" s="238"/>
      <c r="B31" s="238"/>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row>
    <row r="32" spans="1:28">
      <c r="A32" s="238"/>
      <c r="B32" s="238"/>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row>
    <row r="33" spans="1:28">
      <c r="A33" s="238"/>
      <c r="B33" s="238"/>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row>
    <row r="34" spans="1:28">
      <c r="A34" s="238"/>
      <c r="B34" s="238"/>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row>
    <row r="35" spans="1:28">
      <c r="A35" s="238"/>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row>
    <row r="36" spans="1:28">
      <c r="A36" s="238"/>
      <c r="B36" s="238"/>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row>
    <row r="37" spans="1:28">
      <c r="A37" s="238"/>
      <c r="B37" s="238"/>
      <c r="C37" s="238"/>
      <c r="D37" s="238"/>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row>
    <row r="38" spans="1:28">
      <c r="A38" s="238"/>
      <c r="B38" s="238"/>
      <c r="C38" s="238"/>
      <c r="D38" s="238"/>
      <c r="E38" s="238"/>
      <c r="F38" s="238"/>
      <c r="G38" s="238"/>
      <c r="H38" s="238"/>
      <c r="I38" s="238"/>
      <c r="J38" s="238"/>
      <c r="K38" s="238"/>
      <c r="L38" s="238"/>
      <c r="M38" s="238"/>
      <c r="N38" s="238"/>
      <c r="O38" s="238"/>
      <c r="P38" s="238"/>
      <c r="Q38" s="238"/>
      <c r="R38" s="238"/>
      <c r="S38" s="238"/>
      <c r="T38" s="238"/>
      <c r="U38" s="238"/>
      <c r="V38" s="238"/>
      <c r="W38" s="238"/>
      <c r="X38" s="238"/>
      <c r="Y38" s="238"/>
      <c r="Z38" s="238"/>
      <c r="AA38" s="238"/>
      <c r="AB38" s="238"/>
    </row>
    <row r="39" spans="1:28">
      <c r="A39" s="238"/>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row>
    <row r="40" spans="1:28">
      <c r="A40" s="238"/>
      <c r="B40" s="238"/>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row>
    <row r="41" spans="1:28">
      <c r="A41" s="238"/>
      <c r="B41" s="238"/>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row>
    <row r="42" spans="1:28">
      <c r="A42" s="238"/>
      <c r="B42" s="238"/>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row>
    <row r="43" spans="1:28">
      <c r="A43" s="238"/>
      <c r="B43" s="238"/>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row>
    <row r="44" spans="1:28">
      <c r="A44" s="238"/>
      <c r="B44" s="238"/>
      <c r="C44" s="238"/>
      <c r="D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row>
    <row r="45" spans="1:28">
      <c r="A45" s="238"/>
      <c r="B45" s="238"/>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row>
    <row r="46" spans="1:28">
      <c r="A46" s="238"/>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row>
    <row r="47" spans="1:28">
      <c r="A47" s="238"/>
      <c r="B47" s="238"/>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row>
    <row r="48" spans="1:28">
      <c r="A48" s="238"/>
      <c r="B48" s="238"/>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row>
    <row r="49" spans="1:28">
      <c r="A49" s="238"/>
      <c r="B49" s="238"/>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row>
    <row r="50" spans="1:28">
      <c r="A50" s="238"/>
      <c r="B50" s="238"/>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row>
    <row r="51" spans="1:28">
      <c r="A51" s="238"/>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row>
  </sheetData>
  <mergeCells count="2">
    <mergeCell ref="B10:B11"/>
    <mergeCell ref="B8:B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AO13"/>
  <sheetViews>
    <sheetView zoomScale="76" zoomScaleNormal="115" workbookViewId="0">
      <selection activeCell="B14" sqref="B14"/>
    </sheetView>
  </sheetViews>
  <sheetFormatPr baseColWidth="10" defaultColWidth="9" defaultRowHeight="14.5"/>
  <cols>
    <col min="2" max="2" width="17.36328125" customWidth="1"/>
    <col min="3" max="40" width="11.6328125" bestFit="1" customWidth="1"/>
  </cols>
  <sheetData>
    <row r="1" spans="1:41">
      <c r="A1" t="s">
        <v>10</v>
      </c>
      <c r="B1" t="s">
        <v>563</v>
      </c>
    </row>
    <row r="2" spans="1:41">
      <c r="A2" t="s">
        <v>9</v>
      </c>
      <c r="B2" t="s">
        <v>564</v>
      </c>
      <c r="N2" s="16"/>
    </row>
    <row r="3" spans="1:41">
      <c r="A3" t="s">
        <v>8</v>
      </c>
      <c r="B3" t="s">
        <v>7</v>
      </c>
      <c r="N3" s="16"/>
    </row>
    <row r="4" spans="1:41" ht="15" thickBot="1">
      <c r="A4" t="s">
        <v>6</v>
      </c>
      <c r="B4" t="s">
        <v>549</v>
      </c>
    </row>
    <row r="5" spans="1:41" ht="15.5" thickTop="1" thickBot="1">
      <c r="B5" s="15"/>
      <c r="C5" s="14">
        <v>1985</v>
      </c>
      <c r="D5" s="13">
        <v>1986</v>
      </c>
      <c r="E5" s="13">
        <v>1987</v>
      </c>
      <c r="F5" s="13">
        <v>1988</v>
      </c>
      <c r="G5" s="13">
        <v>1989</v>
      </c>
      <c r="H5" s="13">
        <v>1990</v>
      </c>
      <c r="I5" s="13">
        <v>1991</v>
      </c>
      <c r="J5" s="13">
        <v>1992</v>
      </c>
      <c r="K5" s="13">
        <v>1993</v>
      </c>
      <c r="L5" s="13">
        <v>1994</v>
      </c>
      <c r="M5" s="13">
        <v>1995</v>
      </c>
      <c r="N5" s="13">
        <v>1996</v>
      </c>
      <c r="O5" s="13">
        <v>1997</v>
      </c>
      <c r="P5" s="13">
        <v>1998</v>
      </c>
      <c r="Q5" s="13">
        <v>1999</v>
      </c>
      <c r="R5" s="13">
        <v>2000</v>
      </c>
      <c r="S5" s="13">
        <v>2001</v>
      </c>
      <c r="T5" s="13">
        <v>2002</v>
      </c>
      <c r="U5" s="13">
        <v>2003</v>
      </c>
      <c r="V5" s="13">
        <v>2004</v>
      </c>
      <c r="W5" s="13">
        <v>2005</v>
      </c>
      <c r="X5" s="13">
        <v>2006</v>
      </c>
      <c r="Y5" s="13">
        <v>2007</v>
      </c>
      <c r="Z5" s="13">
        <v>2008</v>
      </c>
      <c r="AA5" s="13">
        <v>2009</v>
      </c>
      <c r="AB5" s="13">
        <v>2010</v>
      </c>
      <c r="AC5" s="13">
        <v>2011</v>
      </c>
      <c r="AD5" s="13">
        <v>2012</v>
      </c>
      <c r="AE5" s="13">
        <v>2013</v>
      </c>
      <c r="AF5" s="13">
        <v>2014</v>
      </c>
      <c r="AG5" s="13">
        <v>2015</v>
      </c>
      <c r="AH5" s="13">
        <v>2016</v>
      </c>
      <c r="AI5" s="13">
        <v>2017</v>
      </c>
      <c r="AJ5" s="13">
        <v>2018</v>
      </c>
      <c r="AK5" s="13">
        <v>2019</v>
      </c>
      <c r="AL5" s="13">
        <v>2020</v>
      </c>
      <c r="AM5" s="13">
        <v>2021</v>
      </c>
      <c r="AN5" s="351">
        <v>2022</v>
      </c>
    </row>
    <row r="6" spans="1:41" ht="15" thickTop="1">
      <c r="B6" s="7" t="s">
        <v>3</v>
      </c>
      <c r="C6" s="1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345"/>
    </row>
    <row r="7" spans="1:41">
      <c r="B7" s="5" t="s">
        <v>2</v>
      </c>
      <c r="C7" s="10">
        <v>23672</v>
      </c>
      <c r="D7" s="9">
        <v>23002</v>
      </c>
      <c r="E7" s="9">
        <v>23278</v>
      </c>
      <c r="F7" s="9">
        <v>24209</v>
      </c>
      <c r="G7" s="9">
        <v>33428</v>
      </c>
      <c r="H7" s="9">
        <v>34017</v>
      </c>
      <c r="I7" s="9">
        <v>30995</v>
      </c>
      <c r="J7" s="9">
        <v>37648</v>
      </c>
      <c r="K7" s="9">
        <v>41508</v>
      </c>
      <c r="L7" s="9">
        <v>43503</v>
      </c>
      <c r="M7" s="9">
        <v>43815</v>
      </c>
      <c r="N7" s="9">
        <v>43133</v>
      </c>
      <c r="O7" s="9">
        <v>38864</v>
      </c>
      <c r="P7" s="9">
        <v>40805</v>
      </c>
      <c r="Q7" s="9">
        <v>40871</v>
      </c>
      <c r="R7" s="9">
        <v>41711</v>
      </c>
      <c r="S7" s="9">
        <v>45322</v>
      </c>
      <c r="T7" s="9">
        <v>51759</v>
      </c>
      <c r="U7" s="9">
        <v>46431</v>
      </c>
      <c r="V7" s="9">
        <v>40842</v>
      </c>
      <c r="W7" s="9">
        <v>40986</v>
      </c>
      <c r="X7" s="9">
        <v>33209</v>
      </c>
      <c r="Y7" s="9">
        <v>32595</v>
      </c>
      <c r="Z7" s="9">
        <v>31761</v>
      </c>
      <c r="AA7" s="9">
        <v>26838</v>
      </c>
      <c r="AB7" s="9">
        <v>25246</v>
      </c>
      <c r="AC7" s="9">
        <v>20088</v>
      </c>
      <c r="AD7" s="9">
        <v>21801</v>
      </c>
      <c r="AE7" s="9">
        <v>26610</v>
      </c>
      <c r="AF7" s="9">
        <v>47565</v>
      </c>
      <c r="AG7" s="9">
        <v>34566</v>
      </c>
      <c r="AH7" s="9">
        <v>39977</v>
      </c>
      <c r="AI7" s="9">
        <v>38150</v>
      </c>
      <c r="AJ7" s="9">
        <v>36143</v>
      </c>
      <c r="AK7" s="9">
        <v>36269</v>
      </c>
      <c r="AL7" s="9">
        <v>36145</v>
      </c>
      <c r="AM7" s="9">
        <v>35622</v>
      </c>
      <c r="AN7" s="346">
        <v>35723</v>
      </c>
      <c r="AO7" s="51"/>
    </row>
    <row r="8" spans="1:41">
      <c r="B8" s="4" t="s">
        <v>5</v>
      </c>
      <c r="C8" s="10">
        <v>387675</v>
      </c>
      <c r="D8" s="9">
        <v>278567</v>
      </c>
      <c r="E8" s="9">
        <v>244818</v>
      </c>
      <c r="F8" s="9">
        <v>205446</v>
      </c>
      <c r="G8" s="9">
        <v>255622</v>
      </c>
      <c r="H8" s="9">
        <v>222458</v>
      </c>
      <c r="I8" s="9">
        <v>255507</v>
      </c>
      <c r="J8" s="9">
        <v>315603</v>
      </c>
      <c r="K8" s="9">
        <v>465601</v>
      </c>
      <c r="L8" s="9">
        <v>563500</v>
      </c>
      <c r="M8" s="9">
        <v>618817</v>
      </c>
      <c r="N8" s="9">
        <v>634113</v>
      </c>
      <c r="O8" s="9">
        <v>641928</v>
      </c>
      <c r="P8" s="9">
        <v>613476</v>
      </c>
      <c r="Q8" s="9">
        <v>554256</v>
      </c>
      <c r="R8" s="9">
        <v>521306.00000000006</v>
      </c>
      <c r="S8" s="9">
        <v>472336</v>
      </c>
      <c r="T8" s="9">
        <v>578752</v>
      </c>
      <c r="U8" s="9">
        <v>575865</v>
      </c>
      <c r="V8" s="9">
        <v>570403</v>
      </c>
      <c r="W8" s="9">
        <v>538395</v>
      </c>
      <c r="X8" s="9">
        <v>467754</v>
      </c>
      <c r="Y8" s="9">
        <v>421576</v>
      </c>
      <c r="Z8" s="9">
        <v>360913</v>
      </c>
      <c r="AA8" s="9">
        <v>345157</v>
      </c>
      <c r="AB8" s="9">
        <v>293409</v>
      </c>
      <c r="AC8" s="9">
        <v>234654</v>
      </c>
      <c r="AD8" s="9">
        <v>219600</v>
      </c>
      <c r="AE8" s="9">
        <v>232129</v>
      </c>
      <c r="AF8" s="9">
        <v>301462</v>
      </c>
      <c r="AG8" s="9">
        <v>259534</v>
      </c>
      <c r="AH8" s="9">
        <v>296970</v>
      </c>
      <c r="AI8" s="9">
        <v>256108</v>
      </c>
      <c r="AJ8" s="9">
        <v>227828.51</v>
      </c>
      <c r="AK8" s="9">
        <v>205108</v>
      </c>
      <c r="AL8" s="9">
        <v>192281</v>
      </c>
      <c r="AM8" s="9">
        <v>192652.5</v>
      </c>
      <c r="AN8" s="346">
        <v>151038</v>
      </c>
      <c r="AO8" s="51"/>
    </row>
    <row r="9" spans="1:41">
      <c r="B9" s="7" t="s">
        <v>3</v>
      </c>
      <c r="C9" s="3"/>
      <c r="D9" s="2"/>
      <c r="E9" s="2"/>
      <c r="F9" s="2"/>
      <c r="G9" s="2"/>
      <c r="H9" s="2"/>
      <c r="I9" s="2"/>
      <c r="J9" s="2"/>
      <c r="K9" s="2"/>
      <c r="L9" s="2"/>
      <c r="M9" s="2"/>
      <c r="N9" s="2"/>
      <c r="O9" s="2"/>
      <c r="P9" s="2"/>
      <c r="Q9" s="2"/>
      <c r="R9" s="2"/>
      <c r="S9" s="2"/>
      <c r="T9" s="2"/>
      <c r="U9" s="2"/>
      <c r="V9" s="2"/>
      <c r="W9" s="2"/>
      <c r="X9" s="2"/>
      <c r="Y9" s="6"/>
      <c r="Z9" s="6"/>
      <c r="AA9" s="6"/>
      <c r="AB9" s="6"/>
      <c r="AC9" s="6"/>
      <c r="AD9" s="6"/>
      <c r="AE9" s="6"/>
      <c r="AF9" s="6"/>
      <c r="AG9" s="6"/>
      <c r="AH9" s="6"/>
      <c r="AI9" s="6"/>
      <c r="AJ9" s="6"/>
      <c r="AK9" s="6"/>
      <c r="AL9" s="6"/>
      <c r="AM9" s="6"/>
      <c r="AN9" s="347"/>
    </row>
    <row r="10" spans="1:41">
      <c r="B10" s="5" t="s">
        <v>2</v>
      </c>
      <c r="C10" s="3">
        <f>100</f>
        <v>100</v>
      </c>
      <c r="D10" s="2">
        <f t="shared" ref="D10:AN10" si="0">D7/$C$7*100</f>
        <v>97.16965190942885</v>
      </c>
      <c r="E10" s="2">
        <f t="shared" si="0"/>
        <v>98.335586346738765</v>
      </c>
      <c r="F10" s="2">
        <f t="shared" si="0"/>
        <v>102.26850287259208</v>
      </c>
      <c r="G10" s="2">
        <f t="shared" si="0"/>
        <v>141.21324771882394</v>
      </c>
      <c r="H10" s="2">
        <f t="shared" si="0"/>
        <v>143.70141939844544</v>
      </c>
      <c r="I10" s="2">
        <f t="shared" si="0"/>
        <v>130.93528218992901</v>
      </c>
      <c r="J10" s="2">
        <f t="shared" si="0"/>
        <v>159.04021628928692</v>
      </c>
      <c r="K10" s="2">
        <f t="shared" si="0"/>
        <v>175.34640081108483</v>
      </c>
      <c r="L10" s="2">
        <f t="shared" si="0"/>
        <v>183.77407908077052</v>
      </c>
      <c r="M10" s="2">
        <f t="shared" si="0"/>
        <v>185.09209192294693</v>
      </c>
      <c r="N10" s="2">
        <f t="shared" si="0"/>
        <v>182.21105103075362</v>
      </c>
      <c r="O10" s="2">
        <f t="shared" si="0"/>
        <v>164.17708685366679</v>
      </c>
      <c r="P10" s="2">
        <f t="shared" si="0"/>
        <v>172.37664751605274</v>
      </c>
      <c r="Q10" s="2">
        <f t="shared" si="0"/>
        <v>172.65545792497466</v>
      </c>
      <c r="R10" s="2">
        <f t="shared" si="0"/>
        <v>176.20395403852655</v>
      </c>
      <c r="S10" s="2">
        <f t="shared" si="0"/>
        <v>191.45826292666442</v>
      </c>
      <c r="T10" s="2">
        <f t="shared" si="0"/>
        <v>218.65072659682326</v>
      </c>
      <c r="U10" s="2">
        <f t="shared" si="0"/>
        <v>196.14312267657991</v>
      </c>
      <c r="V10" s="2">
        <f t="shared" si="0"/>
        <v>172.53295032105441</v>
      </c>
      <c r="W10" s="2">
        <f t="shared" si="0"/>
        <v>173.14126394052045</v>
      </c>
      <c r="X10" s="2">
        <f t="shared" si="0"/>
        <v>140.28810408921933</v>
      </c>
      <c r="Y10" s="2">
        <f t="shared" si="0"/>
        <v>137.69432240621833</v>
      </c>
      <c r="Z10" s="2">
        <f t="shared" si="0"/>
        <v>134.17117269347753</v>
      </c>
      <c r="AA10" s="2">
        <f t="shared" si="0"/>
        <v>113.37445082798243</v>
      </c>
      <c r="AB10" s="2">
        <f t="shared" si="0"/>
        <v>106.6492058127746</v>
      </c>
      <c r="AC10" s="2">
        <f t="shared" si="0"/>
        <v>84.859749915511998</v>
      </c>
      <c r="AD10" s="2">
        <f t="shared" si="0"/>
        <v>92.096147347076723</v>
      </c>
      <c r="AE10" s="2">
        <f t="shared" si="0"/>
        <v>112.41128759716122</v>
      </c>
      <c r="AF10" s="2">
        <f t="shared" si="0"/>
        <v>200.93359242987498</v>
      </c>
      <c r="AG10" s="2">
        <f t="shared" si="0"/>
        <v>146.02061507265969</v>
      </c>
      <c r="AH10" s="2">
        <f t="shared" si="0"/>
        <v>168.87884420412303</v>
      </c>
      <c r="AI10" s="2">
        <f t="shared" si="0"/>
        <v>161.1608651571477</v>
      </c>
      <c r="AJ10" s="2">
        <f t="shared" si="0"/>
        <v>152.68249408583981</v>
      </c>
      <c r="AK10" s="2">
        <f t="shared" si="0"/>
        <v>153.2147685028726</v>
      </c>
      <c r="AL10" s="2">
        <f t="shared" si="0"/>
        <v>152.69094288611018</v>
      </c>
      <c r="AM10" s="2">
        <f t="shared" si="0"/>
        <v>150.48158161541062</v>
      </c>
      <c r="AN10" s="110">
        <f t="shared" si="0"/>
        <v>150.90824602906389</v>
      </c>
    </row>
    <row r="11" spans="1:41">
      <c r="B11" s="4" t="s">
        <v>1</v>
      </c>
      <c r="C11" s="3">
        <f>100</f>
        <v>100</v>
      </c>
      <c r="D11" s="2">
        <f t="shared" ref="D11:AN11" si="1">D8/$C$8*100</f>
        <v>71.85580705487844</v>
      </c>
      <c r="E11" s="2">
        <f t="shared" si="1"/>
        <v>63.150319210679051</v>
      </c>
      <c r="F11" s="2">
        <f t="shared" si="1"/>
        <v>52.994389630489458</v>
      </c>
      <c r="G11" s="2">
        <f t="shared" si="1"/>
        <v>65.937189656284261</v>
      </c>
      <c r="H11" s="2">
        <f t="shared" si="1"/>
        <v>57.382601405816722</v>
      </c>
      <c r="I11" s="2">
        <f t="shared" si="1"/>
        <v>65.907525633584825</v>
      </c>
      <c r="J11" s="2">
        <f t="shared" si="1"/>
        <v>81.409170052234472</v>
      </c>
      <c r="K11" s="2">
        <f t="shared" si="1"/>
        <v>120.10085767717804</v>
      </c>
      <c r="L11" s="2">
        <f t="shared" si="1"/>
        <v>145.35371122718772</v>
      </c>
      <c r="M11" s="2">
        <f t="shared" si="1"/>
        <v>159.62262204165859</v>
      </c>
      <c r="N11" s="2">
        <f t="shared" si="1"/>
        <v>163.56819500870574</v>
      </c>
      <c r="O11" s="2">
        <f t="shared" si="1"/>
        <v>165.58405881214935</v>
      </c>
      <c r="P11" s="2">
        <f t="shared" si="1"/>
        <v>158.24492164828789</v>
      </c>
      <c r="Q11" s="2">
        <f t="shared" si="1"/>
        <v>142.96923969820082</v>
      </c>
      <c r="R11" s="2">
        <f t="shared" si="1"/>
        <v>134.46985232475657</v>
      </c>
      <c r="S11" s="2">
        <f t="shared" si="1"/>
        <v>121.83813761527051</v>
      </c>
      <c r="T11" s="2">
        <f t="shared" si="1"/>
        <v>149.28793448120203</v>
      </c>
      <c r="U11" s="2">
        <f t="shared" si="1"/>
        <v>148.54323853743469</v>
      </c>
      <c r="V11" s="2">
        <f t="shared" si="1"/>
        <v>147.13432643322369</v>
      </c>
      <c r="W11" s="2">
        <f t="shared" si="1"/>
        <v>138.87792609789128</v>
      </c>
      <c r="X11" s="2">
        <f t="shared" si="1"/>
        <v>120.656219771716</v>
      </c>
      <c r="Y11" s="2">
        <f t="shared" si="1"/>
        <v>108.74469594376733</v>
      </c>
      <c r="Z11" s="2">
        <f t="shared" si="1"/>
        <v>93.096794995808338</v>
      </c>
      <c r="AA11" s="2">
        <f t="shared" si="1"/>
        <v>89.032565937963497</v>
      </c>
      <c r="AB11" s="2">
        <f t="shared" si="1"/>
        <v>75.684271619268713</v>
      </c>
      <c r="AC11" s="2">
        <f t="shared" si="1"/>
        <v>60.528535500096723</v>
      </c>
      <c r="AD11" s="2">
        <f t="shared" si="1"/>
        <v>56.645385954730124</v>
      </c>
      <c r="AE11" s="2">
        <f t="shared" si="1"/>
        <v>59.877216740826725</v>
      </c>
      <c r="AF11" s="2">
        <f t="shared" si="1"/>
        <v>77.761527052298959</v>
      </c>
      <c r="AG11" s="2">
        <f t="shared" si="1"/>
        <v>66.946282324111692</v>
      </c>
      <c r="AH11" s="2">
        <f t="shared" si="1"/>
        <v>76.602824530857021</v>
      </c>
      <c r="AI11" s="2">
        <f t="shared" si="1"/>
        <v>66.062552395692265</v>
      </c>
      <c r="AJ11" s="2">
        <f t="shared" si="1"/>
        <v>58.767913845360162</v>
      </c>
      <c r="AK11" s="2">
        <f t="shared" si="1"/>
        <v>52.907203198555486</v>
      </c>
      <c r="AL11" s="2">
        <f t="shared" si="1"/>
        <v>49.59850390146385</v>
      </c>
      <c r="AM11" s="2">
        <f t="shared" si="1"/>
        <v>49.694331592184177</v>
      </c>
      <c r="AN11" s="110">
        <f t="shared" si="1"/>
        <v>38.959953569355775</v>
      </c>
    </row>
    <row r="12" spans="1:41" ht="15" thickBot="1">
      <c r="B12" s="1" t="s">
        <v>0</v>
      </c>
      <c r="C12" s="348">
        <f>C8/C7</f>
        <v>16.376943224062185</v>
      </c>
      <c r="D12" s="349">
        <f t="shared" ref="D12:AN12" si="2">D8/D7</f>
        <v>12.110555603860535</v>
      </c>
      <c r="E12" s="349">
        <f t="shared" si="2"/>
        <v>10.517140647821979</v>
      </c>
      <c r="F12" s="349">
        <f t="shared" si="2"/>
        <v>8.486348052377215</v>
      </c>
      <c r="G12" s="349">
        <f t="shared" si="2"/>
        <v>7.6469426827809022</v>
      </c>
      <c r="H12" s="349">
        <f t="shared" si="2"/>
        <v>6.5396125466678425</v>
      </c>
      <c r="I12" s="349">
        <f t="shared" si="2"/>
        <v>8.2434908856267146</v>
      </c>
      <c r="J12" s="349">
        <f t="shared" si="2"/>
        <v>8.3829951126221847</v>
      </c>
      <c r="K12" s="349">
        <f t="shared" si="2"/>
        <v>11.217138864797148</v>
      </c>
      <c r="L12" s="349">
        <f t="shared" si="2"/>
        <v>12.953129669218216</v>
      </c>
      <c r="M12" s="349">
        <f t="shared" si="2"/>
        <v>14.123405226520598</v>
      </c>
      <c r="N12" s="349">
        <f t="shared" si="2"/>
        <v>14.701342359678204</v>
      </c>
      <c r="O12" s="349">
        <f t="shared" si="2"/>
        <v>16.517291066282421</v>
      </c>
      <c r="P12" s="349">
        <f t="shared" si="2"/>
        <v>15.034334027692685</v>
      </c>
      <c r="Q12" s="349">
        <f t="shared" si="2"/>
        <v>13.561106897311053</v>
      </c>
      <c r="R12" s="349">
        <f t="shared" si="2"/>
        <v>12.498046078971976</v>
      </c>
      <c r="S12" s="349">
        <f t="shared" si="2"/>
        <v>10.421781916067252</v>
      </c>
      <c r="T12" s="349">
        <f t="shared" si="2"/>
        <v>11.181668888502482</v>
      </c>
      <c r="U12" s="349">
        <f t="shared" si="2"/>
        <v>12.402597402597403</v>
      </c>
      <c r="V12" s="349">
        <f t="shared" si="2"/>
        <v>13.966088830125852</v>
      </c>
      <c r="W12" s="349">
        <f t="shared" si="2"/>
        <v>13.136070853462158</v>
      </c>
      <c r="X12" s="349">
        <f t="shared" si="2"/>
        <v>14.085157637989701</v>
      </c>
      <c r="Y12" s="349">
        <f t="shared" si="2"/>
        <v>12.933762847062432</v>
      </c>
      <c r="Z12" s="349">
        <f t="shared" si="2"/>
        <v>11.363401656119139</v>
      </c>
      <c r="AA12" s="349">
        <f t="shared" si="2"/>
        <v>12.860757135405022</v>
      </c>
      <c r="AB12" s="349">
        <f t="shared" si="2"/>
        <v>11.621999524677177</v>
      </c>
      <c r="AC12" s="349">
        <f t="shared" si="2"/>
        <v>11.681302270011948</v>
      </c>
      <c r="AD12" s="349">
        <f t="shared" si="2"/>
        <v>10.072932434292005</v>
      </c>
      <c r="AE12" s="349">
        <f t="shared" si="2"/>
        <v>8.7233746711762503</v>
      </c>
      <c r="AF12" s="349">
        <f t="shared" si="2"/>
        <v>6.3378955114054456</v>
      </c>
      <c r="AG12" s="349">
        <f t="shared" si="2"/>
        <v>7.5083608169877918</v>
      </c>
      <c r="AH12" s="349">
        <f t="shared" si="2"/>
        <v>7.4285213998048878</v>
      </c>
      <c r="AI12" s="349">
        <f t="shared" si="2"/>
        <v>6.713184796854522</v>
      </c>
      <c r="AJ12" s="349">
        <f t="shared" si="2"/>
        <v>6.3035306975071244</v>
      </c>
      <c r="AK12" s="349">
        <f t="shared" si="2"/>
        <v>5.6551876257961347</v>
      </c>
      <c r="AL12" s="349">
        <f t="shared" si="2"/>
        <v>5.3197122700235164</v>
      </c>
      <c r="AM12" s="349">
        <f t="shared" si="2"/>
        <v>5.408244904834091</v>
      </c>
      <c r="AN12" s="350">
        <f t="shared" si="2"/>
        <v>4.2280323601041347</v>
      </c>
    </row>
    <row r="13" spans="1:41" ht="15" thickTop="1"/>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19"/>
  <dimension ref="A1:G13"/>
  <sheetViews>
    <sheetView workbookViewId="0">
      <selection activeCell="B3" sqref="B3"/>
    </sheetView>
  </sheetViews>
  <sheetFormatPr baseColWidth="10" defaultRowHeight="14.5"/>
  <cols>
    <col min="2" max="2" width="22.26953125" customWidth="1"/>
  </cols>
  <sheetData>
    <row r="1" spans="1:7">
      <c r="A1" s="220" t="s">
        <v>471</v>
      </c>
      <c r="B1" s="218" t="s">
        <v>529</v>
      </c>
      <c r="C1" s="218"/>
      <c r="D1" s="218"/>
      <c r="E1" s="218"/>
      <c r="F1" s="218"/>
      <c r="G1" s="218"/>
    </row>
    <row r="2" spans="1:7">
      <c r="A2" s="220" t="s">
        <v>470</v>
      </c>
      <c r="B2" s="218" t="s">
        <v>583</v>
      </c>
      <c r="C2" s="218"/>
      <c r="D2" s="218"/>
      <c r="E2" s="218"/>
      <c r="F2" s="218"/>
      <c r="G2" s="218"/>
    </row>
    <row r="3" spans="1:7">
      <c r="A3" s="220" t="s">
        <v>66</v>
      </c>
      <c r="B3" s="218"/>
      <c r="C3" s="218"/>
      <c r="D3" s="218"/>
      <c r="E3" s="218"/>
      <c r="F3" s="218"/>
      <c r="G3" s="218"/>
    </row>
    <row r="4" spans="1:7">
      <c r="A4" s="220" t="s">
        <v>468</v>
      </c>
      <c r="B4" s="218" t="s">
        <v>485</v>
      </c>
      <c r="C4" s="218"/>
      <c r="D4" s="218"/>
      <c r="E4" s="218"/>
      <c r="F4" s="218"/>
      <c r="G4" s="218"/>
    </row>
    <row r="5" spans="1:7">
      <c r="A5" s="220" t="s">
        <v>64</v>
      </c>
      <c r="B5" s="218" t="s">
        <v>530</v>
      </c>
      <c r="C5" s="218"/>
      <c r="D5" s="218"/>
      <c r="E5" s="218"/>
      <c r="F5" s="218"/>
      <c r="G5" s="218"/>
    </row>
    <row r="6" spans="1:7" ht="15" thickBot="1"/>
    <row r="7" spans="1:7" ht="32" customHeight="1" thickTop="1">
      <c r="B7" s="430" t="s">
        <v>580</v>
      </c>
      <c r="C7" s="427" t="s">
        <v>484</v>
      </c>
      <c r="D7" s="428"/>
      <c r="E7" s="428" t="s">
        <v>483</v>
      </c>
      <c r="F7" s="429"/>
      <c r="G7" s="262"/>
    </row>
    <row r="8" spans="1:7" ht="29.5" thickBot="1">
      <c r="A8" s="262"/>
      <c r="B8" s="431"/>
      <c r="C8" s="271" t="s">
        <v>482</v>
      </c>
      <c r="D8" s="270">
        <v>44652</v>
      </c>
      <c r="E8" s="269" t="s">
        <v>482</v>
      </c>
      <c r="F8" s="268">
        <v>44652</v>
      </c>
      <c r="G8" s="262"/>
    </row>
    <row r="9" spans="1:7" ht="44" thickTop="1">
      <c r="A9" s="262"/>
      <c r="B9" s="307" t="s">
        <v>581</v>
      </c>
      <c r="C9" s="267">
        <v>13</v>
      </c>
      <c r="D9" s="266">
        <v>7.7</v>
      </c>
      <c r="E9" s="266">
        <v>7.5</v>
      </c>
      <c r="F9" s="265">
        <v>13.1</v>
      </c>
      <c r="G9" s="262"/>
    </row>
    <row r="10" spans="1:7" ht="29">
      <c r="A10" s="262"/>
      <c r="B10" s="308" t="s">
        <v>481</v>
      </c>
      <c r="C10" s="145">
        <v>2</v>
      </c>
      <c r="D10" s="264">
        <v>2.9</v>
      </c>
      <c r="E10" s="264">
        <v>3</v>
      </c>
      <c r="F10" s="263">
        <v>6.6</v>
      </c>
      <c r="G10" s="262"/>
    </row>
    <row r="11" spans="1:7" ht="29">
      <c r="A11" s="262"/>
      <c r="B11" s="308" t="s">
        <v>582</v>
      </c>
      <c r="C11" s="145">
        <v>3</v>
      </c>
      <c r="D11" s="264">
        <v>1.9</v>
      </c>
      <c r="E11" s="264">
        <v>4</v>
      </c>
      <c r="F11" s="263">
        <v>4</v>
      </c>
      <c r="G11" s="262"/>
    </row>
    <row r="12" spans="1:7" ht="15" thickBot="1">
      <c r="A12" s="262"/>
      <c r="B12" s="309" t="s">
        <v>480</v>
      </c>
      <c r="C12" s="310">
        <v>2.5</v>
      </c>
      <c r="D12" s="311">
        <v>2.5</v>
      </c>
      <c r="E12" s="311">
        <v>5</v>
      </c>
      <c r="F12" s="312">
        <v>5.7</v>
      </c>
      <c r="G12" s="262"/>
    </row>
    <row r="13" spans="1:7" ht="15" thickTop="1"/>
  </sheetData>
  <mergeCells count="3">
    <mergeCell ref="C7:D7"/>
    <mergeCell ref="E7:F7"/>
    <mergeCell ref="B7:B8"/>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0"/>
  <dimension ref="A1:E12"/>
  <sheetViews>
    <sheetView workbookViewId="0">
      <selection activeCell="B2" sqref="B2"/>
    </sheetView>
  </sheetViews>
  <sheetFormatPr baseColWidth="10" defaultRowHeight="14.5"/>
  <cols>
    <col min="2" max="2" width="21.36328125" customWidth="1"/>
  </cols>
  <sheetData>
    <row r="1" spans="1:5">
      <c r="A1" s="220" t="s">
        <v>471</v>
      </c>
      <c r="B1" s="218" t="s">
        <v>585</v>
      </c>
      <c r="C1" s="218"/>
      <c r="D1" s="218"/>
      <c r="E1" s="218"/>
    </row>
    <row r="2" spans="1:5">
      <c r="A2" s="220" t="s">
        <v>470</v>
      </c>
      <c r="B2" s="218" t="s">
        <v>584</v>
      </c>
      <c r="C2" s="218"/>
      <c r="D2" s="218"/>
      <c r="E2" s="218"/>
    </row>
    <row r="3" spans="1:5">
      <c r="A3" s="220" t="s">
        <v>66</v>
      </c>
      <c r="B3" s="218"/>
      <c r="C3" s="218"/>
      <c r="D3" s="218"/>
      <c r="E3" s="218"/>
    </row>
    <row r="4" spans="1:5" ht="15" thickBot="1"/>
    <row r="5" spans="1:5" ht="59" thickTop="1" thickBot="1">
      <c r="B5" s="276" t="s">
        <v>504</v>
      </c>
      <c r="C5" s="275" t="s">
        <v>503</v>
      </c>
      <c r="D5" s="274" t="s">
        <v>502</v>
      </c>
    </row>
    <row r="6" spans="1:5" ht="29.5" thickTop="1">
      <c r="B6" s="273" t="s">
        <v>501</v>
      </c>
      <c r="C6" s="313" t="s">
        <v>500</v>
      </c>
      <c r="D6" s="316" t="s">
        <v>499</v>
      </c>
    </row>
    <row r="7" spans="1:5" ht="23.75" customHeight="1">
      <c r="B7" s="273" t="s">
        <v>498</v>
      </c>
      <c r="C7" s="314" t="s">
        <v>496</v>
      </c>
      <c r="D7" s="317" t="s">
        <v>495</v>
      </c>
    </row>
    <row r="8" spans="1:5" ht="23.75" customHeight="1">
      <c r="B8" s="273" t="s">
        <v>497</v>
      </c>
      <c r="C8" s="314" t="s">
        <v>496</v>
      </c>
      <c r="D8" s="317" t="s">
        <v>495</v>
      </c>
    </row>
    <row r="9" spans="1:5" ht="23.75" customHeight="1">
      <c r="B9" s="273" t="s">
        <v>494</v>
      </c>
      <c r="C9" s="314" t="s">
        <v>493</v>
      </c>
      <c r="D9" s="317" t="s">
        <v>492</v>
      </c>
    </row>
    <row r="10" spans="1:5" ht="23.75" customHeight="1">
      <c r="B10" s="273" t="s">
        <v>491</v>
      </c>
      <c r="C10" s="314" t="s">
        <v>490</v>
      </c>
      <c r="D10" s="317" t="s">
        <v>489</v>
      </c>
    </row>
    <row r="11" spans="1:5" ht="23.75" customHeight="1" thickBot="1">
      <c r="B11" s="272" t="s">
        <v>488</v>
      </c>
      <c r="C11" s="315" t="s">
        <v>487</v>
      </c>
      <c r="D11" s="318" t="s">
        <v>486</v>
      </c>
    </row>
    <row r="12" spans="1:5" ht="15" thickTop="1"/>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1"/>
  <dimension ref="A1:E18"/>
  <sheetViews>
    <sheetView workbookViewId="0">
      <selection activeCell="B6" sqref="B6"/>
    </sheetView>
  </sheetViews>
  <sheetFormatPr baseColWidth="10" defaultRowHeight="14.5"/>
  <cols>
    <col min="3" max="5" width="12" customWidth="1"/>
  </cols>
  <sheetData>
    <row r="1" spans="1:5">
      <c r="A1" s="220" t="s">
        <v>471</v>
      </c>
      <c r="B1" t="s">
        <v>546</v>
      </c>
    </row>
    <row r="2" spans="1:5">
      <c r="A2" s="220" t="s">
        <v>470</v>
      </c>
      <c r="B2" t="s">
        <v>547</v>
      </c>
    </row>
    <row r="3" spans="1:5">
      <c r="A3" s="220" t="s">
        <v>66</v>
      </c>
      <c r="B3" t="s">
        <v>559</v>
      </c>
    </row>
    <row r="4" spans="1:5">
      <c r="A4" s="220" t="s">
        <v>66</v>
      </c>
      <c r="B4" t="s">
        <v>560</v>
      </c>
    </row>
    <row r="5" spans="1:5">
      <c r="A5" s="220" t="s">
        <v>479</v>
      </c>
      <c r="B5" t="s">
        <v>548</v>
      </c>
    </row>
    <row r="6" spans="1:5">
      <c r="A6" s="220" t="s">
        <v>468</v>
      </c>
      <c r="B6" t="s">
        <v>561</v>
      </c>
    </row>
    <row r="7" spans="1:5" ht="15" thickBot="1"/>
    <row r="8" spans="1:5" ht="73.5" thickTop="1" thickBot="1">
      <c r="B8" s="159"/>
      <c r="C8" s="320" t="s">
        <v>507</v>
      </c>
      <c r="D8" s="320" t="s">
        <v>506</v>
      </c>
      <c r="E8" s="321" t="s">
        <v>505</v>
      </c>
    </row>
    <row r="9" spans="1:5" ht="15" thickTop="1">
      <c r="B9" s="158">
        <v>2014</v>
      </c>
      <c r="C9" s="282">
        <v>151500</v>
      </c>
      <c r="D9" s="281">
        <v>98700</v>
      </c>
      <c r="E9" s="280">
        <f t="shared" ref="E9:E17" si="0">C9-D9</f>
        <v>52800</v>
      </c>
    </row>
    <row r="10" spans="1:5">
      <c r="B10" s="158">
        <f t="shared" ref="B10:B17" si="1">B9+1</f>
        <v>2015</v>
      </c>
      <c r="C10" s="279">
        <v>153500</v>
      </c>
      <c r="D10" s="76">
        <v>95663.000000000015</v>
      </c>
      <c r="E10" s="278">
        <f t="shared" si="0"/>
        <v>57836.999999999985</v>
      </c>
    </row>
    <row r="11" spans="1:5">
      <c r="B11" s="158">
        <f t="shared" si="1"/>
        <v>2016</v>
      </c>
      <c r="C11" s="279">
        <v>163100</v>
      </c>
      <c r="D11" s="76">
        <v>100894</v>
      </c>
      <c r="E11" s="278">
        <f t="shared" si="0"/>
        <v>62206</v>
      </c>
    </row>
    <row r="12" spans="1:5">
      <c r="B12" s="158">
        <f t="shared" si="1"/>
        <v>2017</v>
      </c>
      <c r="C12" s="279">
        <v>174000</v>
      </c>
      <c r="D12" s="76">
        <v>112282.99999999999</v>
      </c>
      <c r="E12" s="278">
        <f t="shared" si="0"/>
        <v>61717.000000000015</v>
      </c>
    </row>
    <row r="13" spans="1:5">
      <c r="B13" s="158">
        <f t="shared" si="1"/>
        <v>2018</v>
      </c>
      <c r="C13" s="279">
        <v>179100</v>
      </c>
      <c r="D13" s="76">
        <v>112634</v>
      </c>
      <c r="E13" s="278">
        <f t="shared" si="0"/>
        <v>66466</v>
      </c>
    </row>
    <row r="14" spans="1:5">
      <c r="B14" s="158">
        <f t="shared" si="1"/>
        <v>2019</v>
      </c>
      <c r="C14" s="279">
        <v>176000</v>
      </c>
      <c r="D14" s="76">
        <v>110672</v>
      </c>
      <c r="E14" s="278">
        <f t="shared" si="0"/>
        <v>65328</v>
      </c>
    </row>
    <row r="15" spans="1:5">
      <c r="B15" s="158">
        <f t="shared" si="1"/>
        <v>2020</v>
      </c>
      <c r="C15" s="279">
        <v>179300</v>
      </c>
      <c r="D15" s="76">
        <v>109334</v>
      </c>
      <c r="E15" s="278">
        <f t="shared" si="0"/>
        <v>69966</v>
      </c>
    </row>
    <row r="16" spans="1:5">
      <c r="B16" s="158">
        <f t="shared" si="1"/>
        <v>2021</v>
      </c>
      <c r="C16" s="279">
        <v>189800</v>
      </c>
      <c r="D16" s="76">
        <v>114918</v>
      </c>
      <c r="E16" s="278">
        <f t="shared" si="0"/>
        <v>74882</v>
      </c>
    </row>
    <row r="17" spans="2:5" ht="15" thickBot="1">
      <c r="B17" s="155">
        <f t="shared" si="1"/>
        <v>2022</v>
      </c>
      <c r="C17" s="105">
        <v>199700</v>
      </c>
      <c r="D17" s="73">
        <v>122121</v>
      </c>
      <c r="E17" s="277">
        <f t="shared" si="0"/>
        <v>77579</v>
      </c>
    </row>
    <row r="18" spans="2:5" ht="15" thickTop="1">
      <c r="C18" s="51"/>
      <c r="D18" s="51"/>
      <c r="E18" s="51"/>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2"/>
  <dimension ref="A1:P28"/>
  <sheetViews>
    <sheetView zoomScale="85" zoomScaleNormal="85" workbookViewId="0">
      <selection activeCell="L16" sqref="L16"/>
    </sheetView>
  </sheetViews>
  <sheetFormatPr baseColWidth="10" defaultRowHeight="14.5"/>
  <sheetData>
    <row r="1" spans="1:16">
      <c r="A1" s="220" t="s">
        <v>471</v>
      </c>
      <c r="B1" t="s">
        <v>528</v>
      </c>
    </row>
    <row r="2" spans="1:16">
      <c r="A2" s="220" t="s">
        <v>470</v>
      </c>
      <c r="B2" t="s">
        <v>586</v>
      </c>
    </row>
    <row r="3" spans="1:16">
      <c r="A3" s="220" t="s">
        <v>66</v>
      </c>
      <c r="B3" t="s">
        <v>533</v>
      </c>
    </row>
    <row r="4" spans="1:16" ht="15" thickBot="1"/>
    <row r="5" spans="1:16" ht="15.5" thickTop="1" thickBot="1">
      <c r="B5" s="289" t="s">
        <v>527</v>
      </c>
      <c r="C5" s="288" t="s">
        <v>526</v>
      </c>
      <c r="D5" s="288" t="s">
        <v>525</v>
      </c>
      <c r="E5" s="288" t="s">
        <v>524</v>
      </c>
      <c r="F5" s="288" t="s">
        <v>523</v>
      </c>
      <c r="G5" s="288" t="s">
        <v>522</v>
      </c>
      <c r="H5" s="288" t="s">
        <v>521</v>
      </c>
      <c r="I5" s="288" t="s">
        <v>520</v>
      </c>
      <c r="J5" s="288" t="s">
        <v>519</v>
      </c>
      <c r="K5" s="288" t="s">
        <v>518</v>
      </c>
      <c r="L5" s="288" t="s">
        <v>517</v>
      </c>
      <c r="M5" s="288" t="s">
        <v>516</v>
      </c>
      <c r="N5" s="288" t="s">
        <v>515</v>
      </c>
      <c r="O5" s="288" t="s">
        <v>514</v>
      </c>
      <c r="P5" s="287" t="s">
        <v>513</v>
      </c>
    </row>
    <row r="6" spans="1:16" ht="15" thickTop="1">
      <c r="B6" s="158" t="s">
        <v>512</v>
      </c>
      <c r="C6" s="282">
        <v>364</v>
      </c>
      <c r="D6" s="281">
        <v>436</v>
      </c>
      <c r="E6" s="281">
        <v>560</v>
      </c>
      <c r="F6" s="281">
        <v>504</v>
      </c>
      <c r="G6" s="281">
        <v>399</v>
      </c>
      <c r="H6" s="281">
        <v>523</v>
      </c>
      <c r="I6" s="281">
        <v>804</v>
      </c>
      <c r="J6" s="281">
        <v>1002</v>
      </c>
      <c r="K6" s="281">
        <v>1232</v>
      </c>
      <c r="L6" s="281">
        <v>1417</v>
      </c>
      <c r="M6" s="281">
        <v>1664</v>
      </c>
      <c r="N6" s="281">
        <v>1462</v>
      </c>
      <c r="O6" s="281">
        <v>1602</v>
      </c>
      <c r="P6" s="286">
        <v>1974</v>
      </c>
    </row>
    <row r="7" spans="1:16">
      <c r="B7" s="158" t="s">
        <v>511</v>
      </c>
      <c r="C7" s="279">
        <v>0</v>
      </c>
      <c r="D7" s="76">
        <v>0</v>
      </c>
      <c r="E7" s="76">
        <v>0</v>
      </c>
      <c r="F7" s="76">
        <v>0</v>
      </c>
      <c r="G7" s="76">
        <v>0</v>
      </c>
      <c r="H7" s="76">
        <v>0</v>
      </c>
      <c r="I7" s="76">
        <v>0</v>
      </c>
      <c r="J7" s="76">
        <v>0</v>
      </c>
      <c r="K7" s="76">
        <v>0</v>
      </c>
      <c r="L7" s="76">
        <v>0</v>
      </c>
      <c r="M7" s="76">
        <v>0</v>
      </c>
      <c r="N7" s="76">
        <v>136</v>
      </c>
      <c r="O7" s="76">
        <v>828</v>
      </c>
      <c r="P7" s="75">
        <v>862</v>
      </c>
    </row>
    <row r="8" spans="1:16">
      <c r="B8" s="158" t="s">
        <v>510</v>
      </c>
      <c r="C8" s="279">
        <f t="shared" ref="C8:P8" si="0">C7+C6</f>
        <v>364</v>
      </c>
      <c r="D8" s="76">
        <f t="shared" si="0"/>
        <v>436</v>
      </c>
      <c r="E8" s="76">
        <f t="shared" si="0"/>
        <v>560</v>
      </c>
      <c r="F8" s="76">
        <f t="shared" si="0"/>
        <v>504</v>
      </c>
      <c r="G8" s="76">
        <f t="shared" si="0"/>
        <v>399</v>
      </c>
      <c r="H8" s="76">
        <f t="shared" si="0"/>
        <v>523</v>
      </c>
      <c r="I8" s="76">
        <f t="shared" si="0"/>
        <v>804</v>
      </c>
      <c r="J8" s="76">
        <f t="shared" si="0"/>
        <v>1002</v>
      </c>
      <c r="K8" s="76">
        <f t="shared" si="0"/>
        <v>1232</v>
      </c>
      <c r="L8" s="76">
        <f t="shared" si="0"/>
        <v>1417</v>
      </c>
      <c r="M8" s="76">
        <f t="shared" si="0"/>
        <v>1664</v>
      </c>
      <c r="N8" s="76">
        <f t="shared" si="0"/>
        <v>1598</v>
      </c>
      <c r="O8" s="76">
        <f t="shared" si="0"/>
        <v>2430</v>
      </c>
      <c r="P8" s="75">
        <f t="shared" si="0"/>
        <v>2836</v>
      </c>
    </row>
    <row r="9" spans="1:16">
      <c r="B9" s="158" t="s">
        <v>509</v>
      </c>
      <c r="C9" s="279">
        <v>26481</v>
      </c>
      <c r="D9" s="76">
        <v>21928</v>
      </c>
      <c r="E9" s="76">
        <v>22769</v>
      </c>
      <c r="F9" s="76">
        <v>24158</v>
      </c>
      <c r="G9" s="76">
        <v>15813</v>
      </c>
      <c r="H9" s="76">
        <v>17399</v>
      </c>
      <c r="I9" s="76">
        <v>15589</v>
      </c>
      <c r="J9" s="76">
        <v>15418</v>
      </c>
      <c r="K9" s="76">
        <v>16301</v>
      </c>
      <c r="L9" s="76">
        <v>14925</v>
      </c>
      <c r="M9" s="76">
        <v>13970</v>
      </c>
      <c r="N9" s="76">
        <v>15044</v>
      </c>
      <c r="O9" s="76">
        <v>16148</v>
      </c>
      <c r="P9" s="75">
        <v>16230</v>
      </c>
    </row>
    <row r="10" spans="1:16" ht="15" thickBot="1">
      <c r="B10" s="155" t="s">
        <v>508</v>
      </c>
      <c r="C10" s="285">
        <f t="shared" ref="C10:P10" si="1">C8/(C9+C8)</f>
        <v>1.3559322033898305E-2</v>
      </c>
      <c r="D10" s="284">
        <f t="shared" si="1"/>
        <v>1.9495617957431585E-2</v>
      </c>
      <c r="E10" s="284">
        <f t="shared" si="1"/>
        <v>2.4004457970765999E-2</v>
      </c>
      <c r="F10" s="284">
        <f t="shared" si="1"/>
        <v>2.043629875922472E-2</v>
      </c>
      <c r="G10" s="284">
        <f t="shared" si="1"/>
        <v>2.4611398963730571E-2</v>
      </c>
      <c r="H10" s="284">
        <f t="shared" si="1"/>
        <v>2.9182010936279434E-2</v>
      </c>
      <c r="I10" s="284">
        <f t="shared" si="1"/>
        <v>4.9045324223754044E-2</v>
      </c>
      <c r="J10" s="284">
        <f t="shared" si="1"/>
        <v>6.1023142509135202E-2</v>
      </c>
      <c r="K10" s="284">
        <f t="shared" si="1"/>
        <v>7.0267495579763875E-2</v>
      </c>
      <c r="L10" s="284">
        <f t="shared" si="1"/>
        <v>8.6709093134255288E-2</v>
      </c>
      <c r="M10" s="284">
        <f t="shared" si="1"/>
        <v>0.10643469361647691</v>
      </c>
      <c r="N10" s="284">
        <f t="shared" si="1"/>
        <v>9.6022112726835723E-2</v>
      </c>
      <c r="O10" s="284">
        <f t="shared" si="1"/>
        <v>0.1307998708149424</v>
      </c>
      <c r="P10" s="283">
        <f t="shared" si="1"/>
        <v>0.14874645966642192</v>
      </c>
    </row>
    <row r="11" spans="1:16" ht="15" thickTop="1"/>
    <row r="28" spans="10:10">
      <c r="J28" s="31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K69"/>
  <sheetViews>
    <sheetView topLeftCell="A2" zoomScale="55" zoomScaleNormal="55" workbookViewId="0">
      <selection activeCell="B2" sqref="B2"/>
    </sheetView>
  </sheetViews>
  <sheetFormatPr baseColWidth="10" defaultRowHeight="14.5"/>
  <cols>
    <col min="2" max="2" width="15.36328125" style="300" customWidth="1"/>
    <col min="3" max="3" width="23.26953125" customWidth="1"/>
  </cols>
  <sheetData>
    <row r="1" spans="1:11">
      <c r="A1" s="17" t="s">
        <v>10</v>
      </c>
      <c r="B1" s="301" t="s">
        <v>12</v>
      </c>
      <c r="C1" s="17"/>
      <c r="D1" s="17"/>
      <c r="E1" s="17"/>
      <c r="F1" s="17"/>
      <c r="G1" s="17"/>
      <c r="H1" s="17"/>
      <c r="I1" s="17"/>
      <c r="J1" s="17"/>
      <c r="K1" s="17"/>
    </row>
    <row r="2" spans="1:11">
      <c r="A2" s="17" t="s">
        <v>9</v>
      </c>
      <c r="B2" s="301" t="s">
        <v>565</v>
      </c>
      <c r="C2" s="17"/>
      <c r="D2" s="17"/>
      <c r="E2" s="17"/>
      <c r="F2" s="17"/>
      <c r="G2" s="17"/>
      <c r="H2" s="17"/>
      <c r="I2" s="17"/>
      <c r="J2" s="17"/>
      <c r="K2" s="17"/>
    </row>
    <row r="3" spans="1:11">
      <c r="A3" s="17" t="s">
        <v>8</v>
      </c>
      <c r="B3" s="290"/>
      <c r="C3" s="17"/>
      <c r="D3" s="17"/>
      <c r="E3" s="17"/>
      <c r="F3" s="17"/>
      <c r="G3" s="17"/>
      <c r="H3" s="17"/>
      <c r="I3" s="17"/>
      <c r="J3" s="17"/>
      <c r="K3" s="17"/>
    </row>
    <row r="4" spans="1:11" ht="15" thickBot="1">
      <c r="A4" s="17"/>
      <c r="B4" s="290"/>
      <c r="C4" s="17"/>
      <c r="D4" s="17"/>
      <c r="E4" s="17"/>
      <c r="F4" s="17"/>
      <c r="G4" s="17"/>
      <c r="H4" s="17"/>
      <c r="I4" s="17"/>
      <c r="J4" s="17"/>
      <c r="K4" s="17"/>
    </row>
    <row r="5" spans="1:11" ht="44.5" thickTop="1" thickBot="1">
      <c r="B5" s="19"/>
      <c r="C5" s="291" t="s">
        <v>11</v>
      </c>
      <c r="D5" s="17"/>
      <c r="E5" s="17"/>
      <c r="F5" s="17"/>
      <c r="G5" s="17"/>
      <c r="H5" s="17"/>
      <c r="I5" s="17"/>
      <c r="J5" s="17"/>
      <c r="K5" s="17"/>
    </row>
    <row r="6" spans="1:11" ht="15" thickTop="1">
      <c r="B6" s="18">
        <v>1961</v>
      </c>
      <c r="C6" s="292">
        <v>27359</v>
      </c>
      <c r="D6" s="17"/>
      <c r="E6" s="17"/>
      <c r="F6" s="17"/>
      <c r="G6" s="17"/>
      <c r="H6" s="17"/>
      <c r="I6" s="17"/>
      <c r="J6" s="17"/>
      <c r="K6" s="17"/>
    </row>
    <row r="7" spans="1:11">
      <c r="B7" s="18">
        <v>1962</v>
      </c>
      <c r="C7" s="293"/>
      <c r="D7" s="17"/>
      <c r="E7" s="17"/>
      <c r="F7" s="17"/>
      <c r="G7" s="17"/>
      <c r="H7" s="17"/>
      <c r="I7" s="17"/>
      <c r="J7" s="17"/>
      <c r="K7" s="17"/>
    </row>
    <row r="8" spans="1:11">
      <c r="B8" s="18">
        <v>1963</v>
      </c>
      <c r="C8" s="293"/>
      <c r="D8" s="17"/>
      <c r="E8" s="17"/>
      <c r="F8" s="17"/>
      <c r="G8" s="17"/>
      <c r="H8" s="17"/>
      <c r="I8" s="17"/>
      <c r="J8" s="17"/>
      <c r="K8" s="17"/>
    </row>
    <row r="9" spans="1:11">
      <c r="B9" s="18">
        <v>1964</v>
      </c>
      <c r="C9" s="293"/>
      <c r="D9" s="17"/>
      <c r="E9" s="17"/>
      <c r="F9" s="17"/>
      <c r="G9" s="17"/>
      <c r="H9" s="17"/>
      <c r="I9" s="17"/>
      <c r="J9" s="17"/>
      <c r="K9" s="17"/>
    </row>
    <row r="10" spans="1:11">
      <c r="B10" s="18">
        <v>1965</v>
      </c>
      <c r="C10" s="293"/>
      <c r="D10" s="17"/>
      <c r="E10" s="17"/>
      <c r="F10" s="17"/>
      <c r="G10" s="17"/>
      <c r="H10" s="17"/>
      <c r="I10" s="17"/>
      <c r="J10" s="17"/>
      <c r="K10" s="17"/>
    </row>
    <row r="11" spans="1:11">
      <c r="B11" s="18">
        <v>1966</v>
      </c>
      <c r="C11" s="293"/>
      <c r="D11" s="17"/>
      <c r="E11" s="17"/>
      <c r="F11" s="17"/>
      <c r="G11" s="17"/>
      <c r="H11" s="17"/>
      <c r="I11" s="17"/>
      <c r="J11" s="17"/>
      <c r="K11" s="17"/>
    </row>
    <row r="12" spans="1:11">
      <c r="B12" s="18">
        <v>1967</v>
      </c>
      <c r="C12" s="293"/>
      <c r="D12" s="17"/>
      <c r="E12" s="17"/>
      <c r="F12" s="17"/>
      <c r="G12" s="17"/>
      <c r="H12" s="17"/>
      <c r="I12" s="17"/>
      <c r="J12" s="17"/>
      <c r="K12" s="17"/>
    </row>
    <row r="13" spans="1:11">
      <c r="B13" s="18">
        <v>1968</v>
      </c>
      <c r="C13" s="293"/>
      <c r="D13" s="17"/>
      <c r="E13" s="17"/>
      <c r="F13" s="17"/>
      <c r="G13" s="17"/>
      <c r="H13" s="17"/>
      <c r="I13" s="17"/>
      <c r="J13" s="17"/>
      <c r="K13" s="17"/>
    </row>
    <row r="14" spans="1:11">
      <c r="B14" s="18">
        <v>1969</v>
      </c>
      <c r="C14" s="293"/>
      <c r="D14" s="17"/>
      <c r="E14" s="17"/>
      <c r="F14" s="17"/>
      <c r="G14" s="17"/>
      <c r="H14" s="17"/>
      <c r="I14" s="17"/>
      <c r="J14" s="17"/>
      <c r="K14" s="17"/>
    </row>
    <row r="15" spans="1:11">
      <c r="B15" s="18">
        <v>1970</v>
      </c>
      <c r="C15" s="293"/>
      <c r="D15" s="17"/>
      <c r="E15" s="17"/>
      <c r="F15" s="17"/>
      <c r="G15" s="17"/>
      <c r="H15" s="17"/>
      <c r="I15" s="17"/>
      <c r="J15" s="17"/>
      <c r="K15" s="17"/>
    </row>
    <row r="16" spans="1:11">
      <c r="B16" s="18">
        <v>1971</v>
      </c>
      <c r="C16" s="293"/>
      <c r="D16" s="17"/>
      <c r="E16" s="17"/>
      <c r="F16" s="17"/>
      <c r="G16" s="17"/>
      <c r="H16" s="17"/>
      <c r="I16" s="17"/>
      <c r="J16" s="17"/>
      <c r="K16" s="17"/>
    </row>
    <row r="17" spans="2:11">
      <c r="B17" s="18">
        <v>1972</v>
      </c>
      <c r="C17" s="293">
        <v>78757</v>
      </c>
      <c r="D17" s="17"/>
      <c r="E17" s="17"/>
      <c r="F17" s="17"/>
      <c r="G17" s="17"/>
      <c r="H17" s="17"/>
      <c r="I17" s="17"/>
      <c r="J17" s="17"/>
      <c r="K17" s="17"/>
    </row>
    <row r="18" spans="2:11">
      <c r="B18" s="18">
        <v>1973</v>
      </c>
      <c r="C18" s="293"/>
      <c r="D18" s="17"/>
      <c r="E18" s="17"/>
      <c r="F18" s="17"/>
      <c r="G18" s="17"/>
      <c r="H18" s="17"/>
      <c r="I18" s="17"/>
      <c r="J18" s="17"/>
      <c r="K18" s="17"/>
    </row>
    <row r="19" spans="2:11">
      <c r="B19" s="18">
        <v>1974</v>
      </c>
      <c r="C19" s="293"/>
      <c r="D19" s="17"/>
      <c r="E19" s="17"/>
      <c r="F19" s="17"/>
      <c r="G19" s="17"/>
      <c r="H19" s="17"/>
      <c r="I19" s="17"/>
      <c r="J19" s="17"/>
      <c r="K19" s="17"/>
    </row>
    <row r="20" spans="2:11">
      <c r="B20" s="18">
        <v>1975</v>
      </c>
      <c r="C20" s="293"/>
      <c r="D20" s="17"/>
      <c r="E20" s="17"/>
      <c r="F20" s="17"/>
      <c r="G20" s="17"/>
      <c r="H20" s="17"/>
      <c r="I20" s="17"/>
      <c r="J20" s="17"/>
      <c r="K20" s="17"/>
    </row>
    <row r="21" spans="2:11">
      <c r="B21" s="18">
        <v>1976</v>
      </c>
      <c r="C21" s="293"/>
      <c r="D21" s="17"/>
      <c r="E21" s="17"/>
      <c r="F21" s="17"/>
      <c r="G21" s="17"/>
      <c r="H21" s="17"/>
      <c r="I21" s="17"/>
      <c r="J21" s="17"/>
      <c r="K21" s="17"/>
    </row>
    <row r="22" spans="2:11">
      <c r="B22" s="18">
        <v>1977</v>
      </c>
      <c r="C22" s="293">
        <v>33500</v>
      </c>
      <c r="D22" s="17"/>
      <c r="E22" s="17"/>
      <c r="F22" s="17"/>
      <c r="G22" s="17"/>
      <c r="H22" s="17"/>
      <c r="I22" s="17"/>
      <c r="J22" s="17"/>
      <c r="K22" s="17"/>
    </row>
    <row r="23" spans="2:11">
      <c r="B23" s="18">
        <v>1978</v>
      </c>
      <c r="C23" s="293">
        <v>37000</v>
      </c>
      <c r="D23" s="17"/>
      <c r="E23" s="17"/>
      <c r="F23" s="17"/>
      <c r="G23" s="17"/>
      <c r="H23" s="17"/>
      <c r="I23" s="17"/>
      <c r="J23" s="17"/>
      <c r="K23" s="17"/>
    </row>
    <row r="24" spans="2:11">
      <c r="B24" s="18">
        <v>1979</v>
      </c>
      <c r="C24" s="293">
        <v>32285</v>
      </c>
      <c r="D24" s="17"/>
      <c r="E24" s="17"/>
      <c r="F24" s="17"/>
      <c r="G24" s="17"/>
      <c r="H24" s="17"/>
      <c r="I24" s="17"/>
      <c r="J24" s="17"/>
      <c r="K24" s="17"/>
    </row>
    <row r="25" spans="2:11">
      <c r="B25" s="18">
        <v>1980</v>
      </c>
      <c r="C25" s="293">
        <v>32285</v>
      </c>
      <c r="D25" s="17"/>
      <c r="E25" s="17"/>
      <c r="F25" s="17"/>
      <c r="G25" s="17"/>
      <c r="H25" s="17"/>
      <c r="I25" s="17"/>
      <c r="J25" s="17"/>
      <c r="K25" s="17"/>
    </row>
    <row r="26" spans="2:11">
      <c r="B26" s="18">
        <v>1981</v>
      </c>
      <c r="C26" s="293"/>
      <c r="D26" s="17"/>
      <c r="E26" s="17"/>
      <c r="F26" s="17"/>
      <c r="G26" s="17"/>
      <c r="H26" s="17"/>
      <c r="I26" s="17"/>
      <c r="J26" s="17"/>
      <c r="K26" s="17"/>
    </row>
    <row r="27" spans="2:11">
      <c r="B27" s="18">
        <v>1982</v>
      </c>
      <c r="C27" s="293">
        <v>58524</v>
      </c>
      <c r="D27" s="17"/>
      <c r="E27" s="17"/>
      <c r="F27" s="17"/>
      <c r="G27" s="17"/>
      <c r="H27" s="17"/>
      <c r="I27" s="17"/>
      <c r="J27" s="17"/>
      <c r="K27" s="17"/>
    </row>
    <row r="28" spans="2:11">
      <c r="B28" s="18">
        <v>1983</v>
      </c>
      <c r="C28" s="293"/>
      <c r="D28" s="17"/>
      <c r="E28" s="17"/>
      <c r="F28" s="17"/>
      <c r="G28" s="17"/>
      <c r="H28" s="17"/>
      <c r="I28" s="17"/>
      <c r="J28" s="17"/>
      <c r="K28" s="17"/>
    </row>
    <row r="29" spans="2:11">
      <c r="B29" s="18">
        <v>1984</v>
      </c>
      <c r="C29" s="293">
        <v>48000</v>
      </c>
      <c r="D29" s="17"/>
      <c r="E29" s="17"/>
      <c r="F29" s="17"/>
      <c r="G29" s="17"/>
      <c r="H29" s="17"/>
      <c r="I29" s="17"/>
      <c r="J29" s="17"/>
      <c r="K29" s="17"/>
    </row>
    <row r="30" spans="2:11">
      <c r="B30" s="18">
        <v>1985</v>
      </c>
      <c r="C30" s="293">
        <v>10342</v>
      </c>
      <c r="D30" s="17"/>
      <c r="E30" s="17"/>
      <c r="F30" s="17"/>
      <c r="G30" s="17"/>
      <c r="H30" s="17"/>
      <c r="I30" s="17"/>
      <c r="J30" s="17"/>
      <c r="K30" s="17"/>
    </row>
    <row r="31" spans="2:11">
      <c r="B31" s="18">
        <v>1986</v>
      </c>
      <c r="C31" s="293"/>
      <c r="D31" s="17"/>
      <c r="E31" s="17"/>
      <c r="F31" s="17"/>
      <c r="G31" s="17"/>
      <c r="H31" s="17"/>
      <c r="I31" s="17"/>
      <c r="J31" s="17"/>
      <c r="K31" s="17"/>
    </row>
    <row r="32" spans="2:11">
      <c r="B32" s="18">
        <v>1987</v>
      </c>
      <c r="C32" s="293"/>
      <c r="D32" s="17"/>
      <c r="E32" s="17"/>
      <c r="F32" s="17"/>
      <c r="G32" s="17"/>
      <c r="H32" s="17"/>
      <c r="I32" s="17"/>
      <c r="J32" s="17"/>
      <c r="K32" s="17"/>
    </row>
    <row r="33" spans="2:11">
      <c r="B33" s="18">
        <v>1988</v>
      </c>
      <c r="C33" s="293"/>
      <c r="D33" s="17"/>
      <c r="E33" s="17"/>
      <c r="F33" s="17"/>
      <c r="G33" s="17"/>
      <c r="H33" s="17"/>
      <c r="I33" s="17"/>
      <c r="J33" s="17"/>
      <c r="K33" s="17"/>
    </row>
    <row r="34" spans="2:11">
      <c r="B34" s="18">
        <v>1989</v>
      </c>
      <c r="C34" s="293"/>
      <c r="D34" s="17"/>
      <c r="E34" s="17"/>
      <c r="F34" s="17"/>
      <c r="G34" s="17"/>
      <c r="H34" s="17"/>
      <c r="I34" s="17"/>
      <c r="J34" s="17"/>
      <c r="K34" s="17"/>
    </row>
    <row r="35" spans="2:11">
      <c r="B35" s="18">
        <v>1990</v>
      </c>
      <c r="C35" s="294">
        <v>27789</v>
      </c>
      <c r="D35" s="17"/>
      <c r="E35" s="17"/>
      <c r="F35" s="17"/>
      <c r="G35" s="17"/>
      <c r="H35" s="17"/>
      <c r="I35" s="17"/>
      <c r="J35" s="17"/>
      <c r="K35" s="17"/>
    </row>
    <row r="36" spans="2:11">
      <c r="B36" s="18">
        <v>1991</v>
      </c>
      <c r="C36" s="294"/>
      <c r="D36" s="17"/>
      <c r="E36" s="17"/>
      <c r="F36" s="17"/>
      <c r="G36" s="17"/>
      <c r="H36" s="17"/>
      <c r="I36" s="17"/>
      <c r="J36" s="17"/>
      <c r="K36" s="17"/>
    </row>
    <row r="37" spans="2:11">
      <c r="B37" s="18">
        <v>1992</v>
      </c>
      <c r="C37" s="295">
        <v>14682</v>
      </c>
      <c r="D37" s="17"/>
      <c r="E37" s="17"/>
      <c r="F37" s="17"/>
      <c r="G37" s="17"/>
      <c r="H37" s="17"/>
      <c r="I37" s="17"/>
      <c r="J37" s="17"/>
      <c r="K37" s="17"/>
    </row>
    <row r="38" spans="2:11">
      <c r="B38" s="18">
        <v>1993</v>
      </c>
      <c r="C38" s="295">
        <v>25921</v>
      </c>
      <c r="D38" s="17"/>
      <c r="E38" s="17"/>
      <c r="F38" s="17"/>
      <c r="G38" s="17"/>
      <c r="H38" s="17"/>
      <c r="I38" s="17"/>
      <c r="J38" s="17"/>
      <c r="K38" s="17"/>
    </row>
    <row r="39" spans="2:11">
      <c r="B39" s="18">
        <v>1994</v>
      </c>
      <c r="C39" s="295">
        <v>39468</v>
      </c>
      <c r="D39" s="17"/>
      <c r="E39" s="17"/>
      <c r="F39" s="17"/>
      <c r="G39" s="17"/>
      <c r="H39" s="17"/>
      <c r="I39" s="17"/>
      <c r="J39" s="17"/>
      <c r="K39" s="17"/>
    </row>
    <row r="40" spans="2:11">
      <c r="B40" s="18">
        <v>1995</v>
      </c>
      <c r="C40" s="296">
        <v>49954</v>
      </c>
      <c r="D40" s="17"/>
      <c r="E40" s="17"/>
      <c r="F40" s="17"/>
      <c r="G40" s="17"/>
      <c r="H40" s="17"/>
      <c r="I40" s="17"/>
      <c r="J40" s="17"/>
      <c r="K40" s="17"/>
    </row>
    <row r="41" spans="2:11">
      <c r="B41" s="18">
        <v>1996</v>
      </c>
      <c r="C41" s="295">
        <v>43225</v>
      </c>
      <c r="D41" s="17"/>
      <c r="E41" s="17"/>
      <c r="F41" s="17"/>
      <c r="G41" s="17"/>
      <c r="H41" s="17"/>
      <c r="I41" s="17"/>
      <c r="J41" s="17"/>
      <c r="K41" s="17"/>
    </row>
    <row r="42" spans="2:11">
      <c r="B42" s="18">
        <v>1997</v>
      </c>
      <c r="C42" s="296">
        <v>46058</v>
      </c>
      <c r="D42" s="17"/>
      <c r="E42" s="17"/>
      <c r="F42" s="17"/>
      <c r="G42" s="17"/>
      <c r="H42" s="17"/>
      <c r="I42" s="17"/>
      <c r="J42" s="17"/>
      <c r="K42" s="17"/>
    </row>
    <row r="43" spans="2:11">
      <c r="B43" s="18">
        <v>1998</v>
      </c>
      <c r="C43" s="296">
        <v>46602</v>
      </c>
      <c r="D43" s="17"/>
      <c r="E43" s="17"/>
      <c r="F43" s="17"/>
      <c r="G43" s="17"/>
      <c r="H43" s="17"/>
      <c r="I43" s="17"/>
      <c r="J43" s="17"/>
      <c r="K43" s="17"/>
    </row>
    <row r="44" spans="2:11">
      <c r="B44" s="18">
        <v>1999</v>
      </c>
      <c r="C44" s="296">
        <v>48835</v>
      </c>
      <c r="D44" s="17"/>
      <c r="E44" s="17"/>
      <c r="F44" s="17"/>
      <c r="G44" s="17"/>
      <c r="H44" s="17"/>
      <c r="I44" s="17"/>
      <c r="J44" s="17"/>
      <c r="K44" s="17"/>
    </row>
    <row r="45" spans="2:11">
      <c r="B45" s="18">
        <v>2000</v>
      </c>
      <c r="C45" s="296">
        <v>47023</v>
      </c>
      <c r="D45" s="17"/>
      <c r="E45" s="17"/>
      <c r="F45" s="17"/>
      <c r="G45" s="17"/>
      <c r="H45" s="17"/>
      <c r="I45" s="17"/>
      <c r="J45" s="17"/>
      <c r="K45" s="17"/>
    </row>
    <row r="46" spans="2:11">
      <c r="B46" s="18">
        <v>2001</v>
      </c>
      <c r="C46" s="296">
        <v>47244</v>
      </c>
      <c r="D46" s="17"/>
      <c r="E46" s="17"/>
      <c r="F46" s="17"/>
      <c r="G46" s="17"/>
      <c r="H46" s="17"/>
      <c r="I46" s="17"/>
      <c r="J46" s="17"/>
      <c r="K46" s="17"/>
    </row>
    <row r="47" spans="2:11">
      <c r="B47" s="18">
        <v>2002</v>
      </c>
      <c r="C47" s="297">
        <v>54845</v>
      </c>
      <c r="D47" s="17"/>
      <c r="E47" s="17"/>
      <c r="F47" s="17"/>
      <c r="G47" s="17"/>
      <c r="H47" s="17"/>
      <c r="I47" s="17"/>
      <c r="J47" s="17"/>
      <c r="K47" s="17"/>
    </row>
    <row r="48" spans="2:11">
      <c r="B48" s="18">
        <v>2003</v>
      </c>
      <c r="C48" s="297">
        <v>65977</v>
      </c>
      <c r="D48" s="17"/>
      <c r="E48" s="17"/>
      <c r="F48" s="17"/>
      <c r="G48" s="17"/>
      <c r="H48" s="17"/>
      <c r="I48" s="17"/>
      <c r="J48" s="17"/>
      <c r="K48" s="17"/>
    </row>
    <row r="49" spans="2:11">
      <c r="B49" s="18">
        <v>2004</v>
      </c>
      <c r="C49" s="297">
        <v>65577</v>
      </c>
      <c r="D49" s="17"/>
      <c r="E49" s="17"/>
      <c r="F49" s="17"/>
      <c r="G49" s="17"/>
      <c r="H49" s="17"/>
      <c r="I49" s="17"/>
      <c r="J49" s="17"/>
      <c r="K49" s="17"/>
    </row>
    <row r="50" spans="2:11">
      <c r="B50" s="18">
        <v>2005</v>
      </c>
      <c r="C50" s="297">
        <v>57324</v>
      </c>
      <c r="D50" s="17"/>
      <c r="E50" s="17"/>
      <c r="F50" s="17"/>
      <c r="G50" s="17"/>
      <c r="H50" s="17"/>
      <c r="I50" s="17"/>
      <c r="J50" s="17"/>
      <c r="K50" s="17"/>
    </row>
    <row r="51" spans="2:11">
      <c r="B51" s="18">
        <v>2006</v>
      </c>
      <c r="C51" s="297">
        <v>55298</v>
      </c>
      <c r="D51" s="17"/>
      <c r="E51" s="17"/>
      <c r="F51" s="17"/>
      <c r="G51" s="17"/>
      <c r="H51" s="17"/>
      <c r="I51" s="17"/>
      <c r="J51" s="17"/>
      <c r="K51" s="17"/>
    </row>
    <row r="52" spans="2:11">
      <c r="B52" s="18">
        <v>2007</v>
      </c>
      <c r="C52" s="297">
        <v>52672</v>
      </c>
      <c r="D52" s="17"/>
      <c r="E52" s="17"/>
      <c r="F52" s="17"/>
      <c r="G52" s="17"/>
      <c r="H52" s="17"/>
      <c r="I52" s="17"/>
      <c r="J52" s="17"/>
      <c r="K52" s="17"/>
    </row>
    <row r="53" spans="2:11">
      <c r="B53" s="18">
        <v>2008</v>
      </c>
      <c r="C53" s="297">
        <v>48030</v>
      </c>
      <c r="D53" s="17"/>
      <c r="E53" s="17"/>
      <c r="F53" s="17"/>
      <c r="G53" s="17"/>
      <c r="H53" s="17"/>
      <c r="I53" s="17"/>
      <c r="J53" s="17"/>
      <c r="K53" s="17"/>
    </row>
    <row r="54" spans="2:11">
      <c r="B54" s="18">
        <v>2009</v>
      </c>
      <c r="C54" s="298">
        <v>44907</v>
      </c>
      <c r="D54" s="17"/>
      <c r="E54" s="17"/>
      <c r="F54" s="17"/>
      <c r="G54" s="17"/>
      <c r="H54" s="17"/>
      <c r="I54" s="17"/>
      <c r="J54" s="17"/>
      <c r="K54" s="17"/>
    </row>
    <row r="55" spans="2:11">
      <c r="B55" s="18">
        <v>2010</v>
      </c>
      <c r="C55" s="298">
        <v>37520</v>
      </c>
      <c r="D55" s="17"/>
      <c r="E55" s="17"/>
      <c r="F55" s="17"/>
      <c r="G55" s="17"/>
      <c r="H55" s="17"/>
      <c r="I55" s="17"/>
      <c r="J55" s="17"/>
      <c r="K55" s="17"/>
    </row>
    <row r="56" spans="2:11">
      <c r="B56" s="18">
        <v>2011</v>
      </c>
      <c r="C56" s="298">
        <v>18136</v>
      </c>
      <c r="D56" s="17"/>
      <c r="E56" s="17"/>
      <c r="F56" s="17"/>
      <c r="G56" s="17"/>
      <c r="H56" s="17"/>
      <c r="I56" s="17"/>
      <c r="J56" s="17"/>
      <c r="K56" s="17"/>
    </row>
    <row r="57" spans="2:11">
      <c r="B57" s="18">
        <v>2012</v>
      </c>
      <c r="C57" s="298">
        <v>18617</v>
      </c>
      <c r="D57" s="17"/>
      <c r="E57" s="17"/>
      <c r="F57" s="17"/>
      <c r="G57" s="17"/>
      <c r="H57" s="17"/>
      <c r="I57" s="17"/>
      <c r="J57" s="17"/>
      <c r="K57" s="17"/>
    </row>
    <row r="58" spans="2:11">
      <c r="B58" s="18">
        <v>2013</v>
      </c>
      <c r="C58" s="298">
        <v>20548</v>
      </c>
      <c r="D58" s="17"/>
      <c r="E58" s="17"/>
      <c r="F58" s="17"/>
      <c r="G58" s="17"/>
      <c r="H58" s="17"/>
      <c r="I58" s="17"/>
      <c r="J58" s="17"/>
      <c r="K58" s="17"/>
    </row>
    <row r="59" spans="2:11">
      <c r="B59" s="18">
        <v>2014</v>
      </c>
      <c r="C59" s="298">
        <v>52287</v>
      </c>
      <c r="D59" s="17"/>
      <c r="E59" s="17"/>
      <c r="F59" s="17"/>
      <c r="G59" s="17"/>
      <c r="H59" s="17"/>
      <c r="I59" s="17"/>
      <c r="J59" s="17"/>
      <c r="K59" s="17"/>
    </row>
    <row r="60" spans="2:11">
      <c r="B60" s="18">
        <v>2015</v>
      </c>
      <c r="C60" s="298">
        <v>30855</v>
      </c>
      <c r="D60" s="17"/>
      <c r="E60" s="17"/>
      <c r="F60" s="17"/>
      <c r="G60" s="17"/>
      <c r="H60" s="17"/>
      <c r="I60" s="17"/>
      <c r="J60" s="17"/>
      <c r="K60" s="17"/>
    </row>
    <row r="61" spans="2:11">
      <c r="B61" s="18">
        <v>2016</v>
      </c>
      <c r="C61" s="298">
        <v>33153</v>
      </c>
      <c r="D61" s="17"/>
      <c r="E61" s="17"/>
      <c r="F61" s="17"/>
      <c r="G61" s="17"/>
      <c r="H61" s="17"/>
      <c r="I61" s="17"/>
      <c r="J61" s="17"/>
      <c r="K61" s="17"/>
    </row>
    <row r="62" spans="2:11">
      <c r="B62" s="18">
        <v>2017</v>
      </c>
      <c r="C62" s="298">
        <v>33345</v>
      </c>
      <c r="D62" s="17"/>
      <c r="E62" s="17"/>
      <c r="F62" s="17"/>
      <c r="G62" s="17"/>
      <c r="H62" s="17"/>
      <c r="I62" s="17"/>
      <c r="J62" s="17"/>
      <c r="K62" s="17"/>
    </row>
    <row r="63" spans="2:11">
      <c r="B63" s="18">
        <v>2018</v>
      </c>
      <c r="C63" s="298">
        <v>33240</v>
      </c>
      <c r="D63" s="17"/>
      <c r="E63" s="17"/>
      <c r="F63" s="17"/>
      <c r="G63" s="17"/>
      <c r="H63" s="17"/>
      <c r="I63" s="17"/>
      <c r="J63" s="17"/>
      <c r="K63" s="17"/>
    </row>
    <row r="64" spans="2:11">
      <c r="B64" s="18">
        <v>2019</v>
      </c>
      <c r="C64" s="298">
        <v>32380</v>
      </c>
      <c r="D64" s="17"/>
      <c r="E64" s="17"/>
      <c r="F64" s="17"/>
      <c r="G64" s="17"/>
      <c r="H64" s="17"/>
      <c r="I64" s="17"/>
      <c r="J64" s="17"/>
      <c r="K64" s="17"/>
    </row>
    <row r="65" spans="1:11">
      <c r="B65" s="18">
        <v>2020</v>
      </c>
      <c r="C65" s="298">
        <v>33144</v>
      </c>
      <c r="D65" s="17"/>
      <c r="E65" s="17"/>
      <c r="F65" s="17"/>
      <c r="G65" s="17"/>
      <c r="H65" s="17"/>
      <c r="I65" s="17"/>
      <c r="J65" s="17"/>
      <c r="K65" s="17"/>
    </row>
    <row r="66" spans="1:11">
      <c r="B66" s="18">
        <v>2021</v>
      </c>
      <c r="C66" s="298">
        <v>29996</v>
      </c>
      <c r="D66" s="17"/>
      <c r="E66" s="17"/>
      <c r="F66" s="17"/>
      <c r="G66" s="17"/>
      <c r="H66" s="17"/>
      <c r="I66" s="17"/>
      <c r="J66" s="17"/>
      <c r="K66" s="17"/>
    </row>
    <row r="67" spans="1:11">
      <c r="B67" s="18">
        <v>2022</v>
      </c>
      <c r="C67" s="298">
        <v>17156</v>
      </c>
      <c r="D67" s="17"/>
      <c r="E67" s="17"/>
      <c r="F67" s="17"/>
      <c r="G67" s="17"/>
      <c r="H67" s="17"/>
      <c r="I67" s="17"/>
      <c r="J67" s="17"/>
      <c r="K67" s="17"/>
    </row>
    <row r="68" spans="1:11">
      <c r="B68" s="18">
        <v>2023</v>
      </c>
      <c r="C68" s="299">
        <v>17808</v>
      </c>
      <c r="D68" s="17"/>
      <c r="E68" s="17"/>
      <c r="F68" s="17"/>
      <c r="G68" s="17"/>
      <c r="H68" s="17"/>
      <c r="I68" s="17"/>
      <c r="J68" s="17"/>
      <c r="K68" s="17"/>
    </row>
    <row r="69" spans="1:11">
      <c r="A69" s="17"/>
      <c r="B69" s="290"/>
      <c r="C69" s="17"/>
      <c r="D69" s="17"/>
      <c r="E69" s="17"/>
      <c r="F69" s="17"/>
      <c r="G69" s="17"/>
      <c r="H69" s="17"/>
      <c r="I69" s="17"/>
      <c r="J69" s="17"/>
      <c r="K69" s="17"/>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Y48"/>
  <sheetViews>
    <sheetView zoomScale="85" zoomScaleNormal="85" workbookViewId="0">
      <selection activeCell="B1" sqref="B1"/>
    </sheetView>
  </sheetViews>
  <sheetFormatPr baseColWidth="10" defaultRowHeight="14.5"/>
  <cols>
    <col min="2" max="2" width="36" customWidth="1"/>
  </cols>
  <sheetData>
    <row r="1" spans="1:25">
      <c r="A1" t="s">
        <v>10</v>
      </c>
      <c r="B1" t="s">
        <v>566</v>
      </c>
    </row>
    <row r="2" spans="1:25">
      <c r="A2" t="s">
        <v>9</v>
      </c>
      <c r="B2" t="s">
        <v>535</v>
      </c>
    </row>
    <row r="3" spans="1:25">
      <c r="A3" t="s">
        <v>8</v>
      </c>
      <c r="B3" t="s">
        <v>7</v>
      </c>
      <c r="T3" s="51"/>
    </row>
    <row r="4" spans="1:25" ht="15" thickBot="1">
      <c r="A4" t="s">
        <v>6</v>
      </c>
      <c r="T4" s="51"/>
    </row>
    <row r="5" spans="1:25" ht="15.5" thickTop="1" thickBot="1">
      <c r="B5" s="50"/>
      <c r="C5" s="49">
        <v>2000</v>
      </c>
      <c r="D5" s="48">
        <v>2001</v>
      </c>
      <c r="E5" s="48">
        <v>2002</v>
      </c>
      <c r="F5" s="48">
        <v>2003</v>
      </c>
      <c r="G5" s="48">
        <v>2004</v>
      </c>
      <c r="H5" s="48">
        <v>2005</v>
      </c>
      <c r="I5" s="48">
        <v>2006</v>
      </c>
      <c r="J5" s="48">
        <v>2007</v>
      </c>
      <c r="K5" s="48">
        <v>2008</v>
      </c>
      <c r="L5" s="48">
        <v>2009</v>
      </c>
      <c r="M5" s="48">
        <v>2010</v>
      </c>
      <c r="N5" s="48">
        <v>2011</v>
      </c>
      <c r="O5" s="48">
        <v>2012</v>
      </c>
      <c r="P5" s="48">
        <v>2013</v>
      </c>
      <c r="Q5" s="48">
        <v>2014</v>
      </c>
      <c r="R5" s="48">
        <v>2015</v>
      </c>
      <c r="S5" s="48">
        <v>2016</v>
      </c>
      <c r="T5" s="48">
        <v>2017</v>
      </c>
      <c r="U5" s="48">
        <v>2018</v>
      </c>
      <c r="V5" s="48">
        <v>2019</v>
      </c>
      <c r="W5" s="48">
        <v>2020</v>
      </c>
      <c r="X5" s="48">
        <v>2021</v>
      </c>
      <c r="Y5" s="47">
        <v>2022</v>
      </c>
    </row>
    <row r="6" spans="1:25" ht="15.5" thickTop="1" thickBot="1">
      <c r="B6" s="46" t="s">
        <v>3</v>
      </c>
      <c r="C6" s="45"/>
      <c r="D6" s="44"/>
      <c r="E6" s="44"/>
      <c r="F6" s="44"/>
      <c r="G6" s="44"/>
      <c r="H6" s="44"/>
      <c r="I6" s="44"/>
      <c r="J6" s="44"/>
      <c r="K6" s="44"/>
      <c r="L6" s="44"/>
      <c r="M6" s="44"/>
      <c r="N6" s="44"/>
      <c r="O6" s="44"/>
      <c r="P6" s="44"/>
      <c r="Q6" s="44"/>
      <c r="R6" s="44"/>
      <c r="S6" s="44"/>
      <c r="T6" s="44"/>
      <c r="U6" s="44"/>
      <c r="V6" s="44"/>
      <c r="W6" s="44"/>
      <c r="X6" s="44"/>
      <c r="Y6" s="43"/>
    </row>
    <row r="7" spans="1:25" ht="15" thickTop="1">
      <c r="B7" s="5" t="s">
        <v>2</v>
      </c>
      <c r="C7" s="42">
        <v>41711</v>
      </c>
      <c r="D7" s="41">
        <v>45322</v>
      </c>
      <c r="E7" s="41">
        <v>51759</v>
      </c>
      <c r="F7" s="41">
        <v>46431</v>
      </c>
      <c r="G7" s="41">
        <v>40842</v>
      </c>
      <c r="H7" s="41">
        <v>40986</v>
      </c>
      <c r="I7" s="41">
        <v>33209</v>
      </c>
      <c r="J7" s="41">
        <v>32595</v>
      </c>
      <c r="K7" s="41">
        <v>31761</v>
      </c>
      <c r="L7" s="41">
        <v>26838</v>
      </c>
      <c r="M7" s="41">
        <v>25246</v>
      </c>
      <c r="N7" s="41">
        <v>20088</v>
      </c>
      <c r="O7" s="41">
        <v>21801</v>
      </c>
      <c r="P7" s="41">
        <v>26610</v>
      </c>
      <c r="Q7" s="41">
        <v>47565</v>
      </c>
      <c r="R7" s="41">
        <v>34566</v>
      </c>
      <c r="S7" s="41">
        <v>39977</v>
      </c>
      <c r="T7" s="41">
        <v>38150</v>
      </c>
      <c r="U7" s="41">
        <v>36143</v>
      </c>
      <c r="V7" s="41">
        <v>36269</v>
      </c>
      <c r="W7" s="41">
        <v>36145</v>
      </c>
      <c r="X7" s="41">
        <v>35622</v>
      </c>
      <c r="Y7" s="40">
        <v>35723</v>
      </c>
    </row>
    <row r="8" spans="1:25">
      <c r="B8" s="4" t="s">
        <v>5</v>
      </c>
      <c r="C8" s="36">
        <v>521306.00000000006</v>
      </c>
      <c r="D8" s="35">
        <v>472336</v>
      </c>
      <c r="E8" s="35">
        <v>578752</v>
      </c>
      <c r="F8" s="35">
        <v>575865</v>
      </c>
      <c r="G8" s="35">
        <v>570403</v>
      </c>
      <c r="H8" s="35">
        <v>538395</v>
      </c>
      <c r="I8" s="35">
        <v>467754</v>
      </c>
      <c r="J8" s="35">
        <v>421576</v>
      </c>
      <c r="K8" s="35">
        <v>360913</v>
      </c>
      <c r="L8" s="35">
        <v>345157</v>
      </c>
      <c r="M8" s="35">
        <v>293409</v>
      </c>
      <c r="N8" s="35">
        <v>234654</v>
      </c>
      <c r="O8" s="35">
        <v>219600</v>
      </c>
      <c r="P8" s="35">
        <v>232129</v>
      </c>
      <c r="Q8" s="35">
        <v>301462</v>
      </c>
      <c r="R8" s="35">
        <v>259534</v>
      </c>
      <c r="S8" s="35">
        <v>296970</v>
      </c>
      <c r="T8" s="35">
        <v>256108</v>
      </c>
      <c r="U8" s="35">
        <v>227828.51</v>
      </c>
      <c r="V8" s="35">
        <v>205108</v>
      </c>
      <c r="W8" s="35">
        <v>192281</v>
      </c>
      <c r="X8" s="35">
        <v>192652.5</v>
      </c>
      <c r="Y8" s="34">
        <v>151038</v>
      </c>
    </row>
    <row r="9" spans="1:25">
      <c r="A9" s="8"/>
      <c r="B9" s="5" t="s">
        <v>4</v>
      </c>
      <c r="C9" s="26">
        <f>C8/C7</f>
        <v>12.498046078971976</v>
      </c>
      <c r="D9" s="25">
        <f t="shared" ref="D9:Y9" si="0">D8/D7</f>
        <v>10.421781916067252</v>
      </c>
      <c r="E9" s="25">
        <f t="shared" si="0"/>
        <v>11.181668888502482</v>
      </c>
      <c r="F9" s="25">
        <f t="shared" si="0"/>
        <v>12.402597402597403</v>
      </c>
      <c r="G9" s="25">
        <f t="shared" si="0"/>
        <v>13.966088830125852</v>
      </c>
      <c r="H9" s="25">
        <f t="shared" si="0"/>
        <v>13.136070853462158</v>
      </c>
      <c r="I9" s="25">
        <f t="shared" si="0"/>
        <v>14.085157637989701</v>
      </c>
      <c r="J9" s="25">
        <f t="shared" si="0"/>
        <v>12.933762847062432</v>
      </c>
      <c r="K9" s="25">
        <f t="shared" si="0"/>
        <v>11.363401656119139</v>
      </c>
      <c r="L9" s="25">
        <f t="shared" si="0"/>
        <v>12.860757135405022</v>
      </c>
      <c r="M9" s="25">
        <f t="shared" si="0"/>
        <v>11.621999524677177</v>
      </c>
      <c r="N9" s="25">
        <f t="shared" si="0"/>
        <v>11.681302270011948</v>
      </c>
      <c r="O9" s="25">
        <f t="shared" si="0"/>
        <v>10.072932434292005</v>
      </c>
      <c r="P9" s="25">
        <f t="shared" si="0"/>
        <v>8.7233746711762503</v>
      </c>
      <c r="Q9" s="25">
        <f t="shared" si="0"/>
        <v>6.3378955114054456</v>
      </c>
      <c r="R9" s="25">
        <f t="shared" si="0"/>
        <v>7.5083608169877918</v>
      </c>
      <c r="S9" s="25">
        <f t="shared" si="0"/>
        <v>7.4285213998048878</v>
      </c>
      <c r="T9" s="25">
        <f t="shared" si="0"/>
        <v>6.713184796854522</v>
      </c>
      <c r="U9" s="25">
        <f t="shared" si="0"/>
        <v>6.3035306975071244</v>
      </c>
      <c r="V9" s="25">
        <f t="shared" si="0"/>
        <v>5.6551876257961347</v>
      </c>
      <c r="W9" s="25">
        <f t="shared" si="0"/>
        <v>5.3197122700235164</v>
      </c>
      <c r="X9" s="25">
        <f t="shared" si="0"/>
        <v>5.408244904834091</v>
      </c>
      <c r="Y9" s="24">
        <f t="shared" si="0"/>
        <v>4.2280323601041347</v>
      </c>
    </row>
    <row r="10" spans="1:25">
      <c r="A10" s="8"/>
      <c r="B10" s="7" t="s">
        <v>19</v>
      </c>
      <c r="C10" s="26"/>
      <c r="D10" s="25"/>
      <c r="E10" s="25"/>
      <c r="F10" s="25"/>
      <c r="G10" s="25"/>
      <c r="H10" s="25"/>
      <c r="I10" s="25"/>
      <c r="J10" s="25"/>
      <c r="K10" s="25"/>
      <c r="L10" s="25"/>
      <c r="M10" s="25"/>
      <c r="N10" s="25"/>
      <c r="O10" s="25"/>
      <c r="P10" s="25"/>
      <c r="Q10" s="25"/>
      <c r="R10" s="25"/>
      <c r="S10" s="25"/>
      <c r="T10" s="25"/>
      <c r="U10" s="25"/>
      <c r="V10" s="25"/>
      <c r="W10" s="25"/>
      <c r="X10" s="25"/>
      <c r="Y10" s="24"/>
    </row>
    <row r="11" spans="1:25">
      <c r="B11" s="5" t="s">
        <v>2</v>
      </c>
      <c r="C11" s="26">
        <f t="shared" ref="C11:X11" si="1">C15+C19</f>
        <v>27341</v>
      </c>
      <c r="D11" s="25">
        <f t="shared" si="1"/>
        <v>30387</v>
      </c>
      <c r="E11" s="25">
        <f t="shared" si="1"/>
        <v>32912</v>
      </c>
      <c r="F11" s="25">
        <f t="shared" si="1"/>
        <v>32012</v>
      </c>
      <c r="G11" s="25">
        <f t="shared" si="1"/>
        <v>27884</v>
      </c>
      <c r="H11" s="25">
        <f t="shared" si="1"/>
        <v>28988</v>
      </c>
      <c r="I11" s="25">
        <f t="shared" si="1"/>
        <v>24062</v>
      </c>
      <c r="J11" s="25">
        <f t="shared" si="1"/>
        <v>24281</v>
      </c>
      <c r="K11" s="25">
        <f t="shared" si="1"/>
        <v>21904</v>
      </c>
      <c r="L11" s="25">
        <f t="shared" si="1"/>
        <v>19218</v>
      </c>
      <c r="M11" s="25">
        <f t="shared" si="1"/>
        <v>18917</v>
      </c>
      <c r="N11" s="25">
        <f t="shared" si="1"/>
        <v>14955</v>
      </c>
      <c r="O11" s="25">
        <f t="shared" si="1"/>
        <v>16451</v>
      </c>
      <c r="P11" s="25">
        <f t="shared" si="1"/>
        <v>21764</v>
      </c>
      <c r="Q11" s="25">
        <f t="shared" si="1"/>
        <v>40398</v>
      </c>
      <c r="R11" s="25">
        <f t="shared" si="1"/>
        <v>26849</v>
      </c>
      <c r="S11" s="25">
        <f t="shared" si="1"/>
        <v>28756</v>
      </c>
      <c r="T11" s="25">
        <f t="shared" si="1"/>
        <v>29205</v>
      </c>
      <c r="U11" s="25">
        <f t="shared" si="1"/>
        <v>24755</v>
      </c>
      <c r="V11" s="25">
        <f t="shared" si="1"/>
        <v>26057</v>
      </c>
      <c r="W11" s="25">
        <f t="shared" si="1"/>
        <v>26188</v>
      </c>
      <c r="X11" s="25">
        <f t="shared" si="1"/>
        <v>25198</v>
      </c>
      <c r="Y11" s="24">
        <f t="shared" ref="Y11" si="2">Y15+Y19</f>
        <v>25949</v>
      </c>
    </row>
    <row r="12" spans="1:25">
      <c r="B12" s="4" t="s">
        <v>18</v>
      </c>
      <c r="C12" s="26">
        <f t="shared" ref="C12:X12" si="3">C16+C20</f>
        <v>227137</v>
      </c>
      <c r="D12" s="25">
        <f t="shared" si="3"/>
        <v>224140</v>
      </c>
      <c r="E12" s="25">
        <f t="shared" si="3"/>
        <v>249584</v>
      </c>
      <c r="F12" s="25">
        <f t="shared" si="3"/>
        <v>256228</v>
      </c>
      <c r="G12" s="25">
        <f t="shared" si="3"/>
        <v>267976</v>
      </c>
      <c r="H12" s="25">
        <f t="shared" si="3"/>
        <v>251210</v>
      </c>
      <c r="I12" s="25">
        <f t="shared" si="3"/>
        <v>269998</v>
      </c>
      <c r="J12" s="25">
        <f t="shared" si="3"/>
        <v>223962</v>
      </c>
      <c r="K12" s="25">
        <f t="shared" si="3"/>
        <v>190179</v>
      </c>
      <c r="L12" s="25">
        <f t="shared" si="3"/>
        <v>183135</v>
      </c>
      <c r="M12" s="25">
        <f t="shared" si="3"/>
        <v>167887</v>
      </c>
      <c r="N12" s="25">
        <f t="shared" si="3"/>
        <v>127112</v>
      </c>
      <c r="O12" s="25">
        <f t="shared" si="3"/>
        <v>123715</v>
      </c>
      <c r="P12" s="25">
        <f t="shared" si="3"/>
        <v>132035</v>
      </c>
      <c r="Q12" s="25">
        <f t="shared" si="3"/>
        <v>194707</v>
      </c>
      <c r="R12" s="25">
        <f t="shared" si="3"/>
        <v>149884</v>
      </c>
      <c r="S12" s="25">
        <f t="shared" si="3"/>
        <v>159812</v>
      </c>
      <c r="T12" s="25">
        <f t="shared" si="3"/>
        <v>154509</v>
      </c>
      <c r="U12" s="25">
        <f t="shared" si="3"/>
        <v>123311.5</v>
      </c>
      <c r="V12" s="25">
        <f t="shared" si="3"/>
        <v>136591</v>
      </c>
      <c r="W12" s="25">
        <f t="shared" si="3"/>
        <v>126211</v>
      </c>
      <c r="X12" s="25">
        <f t="shared" si="3"/>
        <v>120538.1</v>
      </c>
      <c r="Y12" s="24">
        <f t="shared" ref="Y12" si="4">Y16+Y20</f>
        <v>90033</v>
      </c>
    </row>
    <row r="13" spans="1:25">
      <c r="B13" s="5" t="s">
        <v>4</v>
      </c>
      <c r="C13" s="26">
        <f>C12/C11</f>
        <v>8.3075600746132174</v>
      </c>
      <c r="D13" s="25">
        <f t="shared" ref="D13" si="5">D12/D11</f>
        <v>7.3761806035475699</v>
      </c>
      <c r="E13" s="25">
        <f t="shared" ref="E13" si="6">E12/E11</f>
        <v>7.583373845405931</v>
      </c>
      <c r="F13" s="25">
        <f t="shared" ref="F13" si="7">F12/F11</f>
        <v>8.0041234537048602</v>
      </c>
      <c r="G13" s="25">
        <f t="shared" ref="G13" si="8">G12/G11</f>
        <v>9.6103858843781378</v>
      </c>
      <c r="H13" s="25">
        <f t="shared" ref="H13" si="9">H12/H11</f>
        <v>8.6659997240237345</v>
      </c>
      <c r="I13" s="25">
        <f t="shared" ref="I13" si="10">I12/I11</f>
        <v>11.220929266062672</v>
      </c>
      <c r="J13" s="25">
        <f t="shared" ref="J13" si="11">J12/J11</f>
        <v>9.2237551995387346</v>
      </c>
      <c r="K13" s="25">
        <f t="shared" ref="K13" si="12">K12/K11</f>
        <v>8.682386778670562</v>
      </c>
      <c r="L13" s="25">
        <f t="shared" ref="L13" si="13">L12/L11</f>
        <v>9.52934748673119</v>
      </c>
      <c r="M13" s="25">
        <f t="shared" ref="M13" si="14">M12/M11</f>
        <v>8.8749273140561407</v>
      </c>
      <c r="N13" s="25">
        <f t="shared" ref="N13" si="15">N12/N11</f>
        <v>8.4996322300234031</v>
      </c>
      <c r="O13" s="25">
        <f t="shared" ref="O13" si="16">O12/O11</f>
        <v>7.5202115372925658</v>
      </c>
      <c r="P13" s="25">
        <f t="shared" ref="P13" si="17">P12/P11</f>
        <v>6.0666697298290755</v>
      </c>
      <c r="Q13" s="25">
        <f t="shared" ref="Q13" si="18">Q12/Q11</f>
        <v>4.8197187979602951</v>
      </c>
      <c r="R13" s="25">
        <f t="shared" ref="R13" si="19">R12/R11</f>
        <v>5.5824797944057503</v>
      </c>
      <c r="S13" s="25">
        <f t="shared" ref="S13" si="20">S12/S11</f>
        <v>5.5575184309361525</v>
      </c>
      <c r="T13" s="25">
        <f t="shared" ref="T13" si="21">T12/T11</f>
        <v>5.2904982023626088</v>
      </c>
      <c r="U13" s="25">
        <f t="shared" ref="U13" si="22">U12/U11</f>
        <v>4.9812765097960012</v>
      </c>
      <c r="V13" s="25">
        <f t="shared" ref="V13" si="23">V12/V11</f>
        <v>5.2420079057450977</v>
      </c>
      <c r="W13" s="25">
        <f t="shared" ref="W13" si="24">W12/W11</f>
        <v>4.8194211089048418</v>
      </c>
      <c r="X13" s="25">
        <f t="shared" ref="X13" si="25">X12/X11</f>
        <v>4.7836375902849433</v>
      </c>
      <c r="Y13" s="24">
        <f t="shared" ref="Y13" si="26">Y12/Y11</f>
        <v>3.4696134725808316</v>
      </c>
    </row>
    <row r="14" spans="1:25">
      <c r="B14" s="7" t="s">
        <v>16</v>
      </c>
      <c r="C14" s="39"/>
      <c r="D14" s="38"/>
      <c r="E14" s="38"/>
      <c r="F14" s="38"/>
      <c r="G14" s="38"/>
      <c r="H14" s="38"/>
      <c r="I14" s="38"/>
      <c r="J14" s="38"/>
      <c r="K14" s="38"/>
      <c r="L14" s="38"/>
      <c r="M14" s="38"/>
      <c r="N14" s="38"/>
      <c r="O14" s="38"/>
      <c r="P14" s="38"/>
      <c r="Q14" s="38"/>
      <c r="R14" s="38"/>
      <c r="S14" s="38"/>
      <c r="T14" s="38"/>
      <c r="U14" s="38"/>
      <c r="V14" s="38"/>
      <c r="W14" s="38"/>
      <c r="X14" s="38"/>
      <c r="Y14" s="37"/>
    </row>
    <row r="15" spans="1:25">
      <c r="B15" s="5" t="s">
        <v>2</v>
      </c>
      <c r="C15" s="36">
        <v>3246</v>
      </c>
      <c r="D15" s="35">
        <v>4088</v>
      </c>
      <c r="E15" s="35">
        <v>4261</v>
      </c>
      <c r="F15" s="35">
        <v>3333</v>
      </c>
      <c r="G15" s="35">
        <v>3304</v>
      </c>
      <c r="H15" s="35">
        <v>3208</v>
      </c>
      <c r="I15" s="35">
        <v>3872</v>
      </c>
      <c r="J15" s="35">
        <v>4108</v>
      </c>
      <c r="K15" s="35">
        <v>3950</v>
      </c>
      <c r="L15" s="35">
        <v>3920</v>
      </c>
      <c r="M15" s="35">
        <v>3670</v>
      </c>
      <c r="N15" s="35">
        <v>3522</v>
      </c>
      <c r="O15" s="35">
        <v>3330</v>
      </c>
      <c r="P15" s="35">
        <v>2938</v>
      </c>
      <c r="Q15" s="35">
        <v>4208</v>
      </c>
      <c r="R15" s="35">
        <v>3009</v>
      </c>
      <c r="S15" s="35">
        <v>3704</v>
      </c>
      <c r="T15" s="35">
        <v>4072</v>
      </c>
      <c r="U15" s="35">
        <v>3763</v>
      </c>
      <c r="V15" s="35">
        <v>3963</v>
      </c>
      <c r="W15" s="35">
        <v>4360</v>
      </c>
      <c r="X15" s="35">
        <v>4761</v>
      </c>
      <c r="Y15" s="34">
        <v>7877</v>
      </c>
    </row>
    <row r="16" spans="1:25">
      <c r="B16" s="4" t="s">
        <v>18</v>
      </c>
      <c r="C16" s="36">
        <v>70754</v>
      </c>
      <c r="D16" s="35">
        <v>70228</v>
      </c>
      <c r="E16" s="35">
        <v>101006</v>
      </c>
      <c r="F16" s="35">
        <v>99320</v>
      </c>
      <c r="G16" s="35">
        <v>109497</v>
      </c>
      <c r="H16" s="35">
        <v>102192</v>
      </c>
      <c r="I16" s="35">
        <v>139989</v>
      </c>
      <c r="J16" s="35">
        <v>109149</v>
      </c>
      <c r="K16" s="35">
        <v>88543</v>
      </c>
      <c r="L16" s="35">
        <v>89061</v>
      </c>
      <c r="M16" s="35">
        <v>86694</v>
      </c>
      <c r="N16" s="35">
        <v>82905</v>
      </c>
      <c r="O16" s="35">
        <v>76497</v>
      </c>
      <c r="P16" s="35">
        <v>79060</v>
      </c>
      <c r="Q16" s="35">
        <v>80436</v>
      </c>
      <c r="R16" s="35">
        <v>77818</v>
      </c>
      <c r="S16" s="35">
        <v>83534</v>
      </c>
      <c r="T16" s="35">
        <v>78098</v>
      </c>
      <c r="U16" s="35">
        <v>44986</v>
      </c>
      <c r="V16" s="35">
        <v>49830</v>
      </c>
      <c r="W16" s="35">
        <v>46321</v>
      </c>
      <c r="X16" s="35">
        <v>41995.3</v>
      </c>
      <c r="Y16" s="34">
        <v>48379</v>
      </c>
    </row>
    <row r="17" spans="1:25">
      <c r="B17" s="5" t="s">
        <v>4</v>
      </c>
      <c r="C17" s="26">
        <f>C16/C15</f>
        <v>21.797288971041283</v>
      </c>
      <c r="D17" s="25">
        <f t="shared" ref="D17" si="27">D16/D15</f>
        <v>17.179060665362034</v>
      </c>
      <c r="E17" s="25">
        <f t="shared" ref="E17" si="28">E16/E15</f>
        <v>23.704764139873269</v>
      </c>
      <c r="F17" s="25">
        <f t="shared" ref="F17" si="29">F16/F15</f>
        <v>29.798979897989799</v>
      </c>
      <c r="G17" s="25">
        <f t="shared" ref="G17" si="30">G16/G15</f>
        <v>33.140738498789347</v>
      </c>
      <c r="H17" s="25">
        <f t="shared" ref="H17" si="31">H16/H15</f>
        <v>31.855361596009974</v>
      </c>
      <c r="I17" s="25">
        <f t="shared" ref="I17" si="32">I16/I15</f>
        <v>36.154183884297524</v>
      </c>
      <c r="J17" s="25">
        <f t="shared" ref="J17" si="33">J16/J15</f>
        <v>26.569863680623175</v>
      </c>
      <c r="K17" s="25">
        <f t="shared" ref="K17" si="34">K16/K15</f>
        <v>22.415949367088608</v>
      </c>
      <c r="L17" s="25">
        <f t="shared" ref="L17" si="35">L16/L15</f>
        <v>22.719642857142858</v>
      </c>
      <c r="M17" s="25">
        <f t="shared" ref="M17" si="36">M16/M15</f>
        <v>23.622343324250682</v>
      </c>
      <c r="N17" s="25">
        <f t="shared" ref="N17" si="37">N16/N15</f>
        <v>23.539182282793867</v>
      </c>
      <c r="O17" s="25">
        <f t="shared" ref="O17" si="38">O16/O15</f>
        <v>22.972072072072073</v>
      </c>
      <c r="P17" s="25">
        <f t="shared" ref="P17" si="39">P16/P15</f>
        <v>26.909462219196733</v>
      </c>
      <c r="Q17" s="25">
        <f t="shared" ref="Q17" si="40">Q16/Q15</f>
        <v>19.115019011406844</v>
      </c>
      <c r="R17" s="25">
        <f t="shared" ref="R17" si="41">R16/R15</f>
        <v>25.861748089066136</v>
      </c>
      <c r="S17" s="25">
        <f t="shared" ref="S17" si="42">S16/S15</f>
        <v>22.552375809935207</v>
      </c>
      <c r="T17" s="25">
        <f t="shared" ref="T17" si="43">T16/T15</f>
        <v>19.179273084479373</v>
      </c>
      <c r="U17" s="25">
        <f t="shared" ref="U17" si="44">U16/U15</f>
        <v>11.954823279298433</v>
      </c>
      <c r="V17" s="25">
        <f t="shared" ref="V17" si="45">V16/V15</f>
        <v>12.573807721423163</v>
      </c>
      <c r="W17" s="25">
        <f t="shared" ref="W17" si="46">W16/W15</f>
        <v>10.624082568807339</v>
      </c>
      <c r="X17" s="25">
        <f t="shared" ref="X17" si="47">X16/X15</f>
        <v>8.8206889308968712</v>
      </c>
      <c r="Y17" s="24">
        <f t="shared" ref="Y17" si="48">Y16/Y15</f>
        <v>6.1418052558080491</v>
      </c>
    </row>
    <row r="18" spans="1:25">
      <c r="B18" s="7" t="s">
        <v>15</v>
      </c>
      <c r="C18" s="39"/>
      <c r="D18" s="38"/>
      <c r="E18" s="38"/>
      <c r="F18" s="38"/>
      <c r="G18" s="38"/>
      <c r="H18" s="38"/>
      <c r="I18" s="38"/>
      <c r="J18" s="38"/>
      <c r="K18" s="38"/>
      <c r="L18" s="38"/>
      <c r="M18" s="38"/>
      <c r="N18" s="38"/>
      <c r="O18" s="38"/>
      <c r="P18" s="38"/>
      <c r="Q18" s="38"/>
      <c r="R18" s="38"/>
      <c r="S18" s="38"/>
      <c r="T18" s="38"/>
      <c r="U18" s="38"/>
      <c r="V18" s="38"/>
      <c r="W18" s="38"/>
      <c r="X18" s="38"/>
      <c r="Y18" s="37"/>
    </row>
    <row r="19" spans="1:25">
      <c r="B19" s="5" t="s">
        <v>2</v>
      </c>
      <c r="C19" s="36">
        <v>24095</v>
      </c>
      <c r="D19" s="35">
        <v>26299</v>
      </c>
      <c r="E19" s="35">
        <v>28651</v>
      </c>
      <c r="F19" s="35">
        <v>28679</v>
      </c>
      <c r="G19" s="35">
        <v>24580</v>
      </c>
      <c r="H19" s="35">
        <v>25780</v>
      </c>
      <c r="I19" s="35">
        <v>20190</v>
      </c>
      <c r="J19" s="35">
        <v>20173</v>
      </c>
      <c r="K19" s="35">
        <v>17954</v>
      </c>
      <c r="L19" s="35">
        <v>15298</v>
      </c>
      <c r="M19" s="35">
        <v>15247</v>
      </c>
      <c r="N19" s="35">
        <v>11433</v>
      </c>
      <c r="O19" s="35">
        <v>13121</v>
      </c>
      <c r="P19" s="35">
        <v>18826</v>
      </c>
      <c r="Q19" s="35">
        <v>36190</v>
      </c>
      <c r="R19" s="35">
        <v>23840</v>
      </c>
      <c r="S19" s="35">
        <v>25052</v>
      </c>
      <c r="T19" s="35">
        <v>25133</v>
      </c>
      <c r="U19" s="35">
        <v>20992</v>
      </c>
      <c r="V19" s="35">
        <v>22094</v>
      </c>
      <c r="W19" s="35">
        <v>21828</v>
      </c>
      <c r="X19" s="35">
        <v>20437</v>
      </c>
      <c r="Y19" s="34">
        <v>18072</v>
      </c>
    </row>
    <row r="20" spans="1:25">
      <c r="B20" s="4" t="s">
        <v>18</v>
      </c>
      <c r="C20" s="36">
        <v>156383</v>
      </c>
      <c r="D20" s="35">
        <v>153912</v>
      </c>
      <c r="E20" s="35">
        <v>148578</v>
      </c>
      <c r="F20" s="35">
        <v>156908</v>
      </c>
      <c r="G20" s="35">
        <v>158479</v>
      </c>
      <c r="H20" s="35">
        <v>149018</v>
      </c>
      <c r="I20" s="35">
        <v>130008.99999999999</v>
      </c>
      <c r="J20" s="35">
        <v>114813</v>
      </c>
      <c r="K20" s="35">
        <v>101636</v>
      </c>
      <c r="L20" s="35">
        <v>94074</v>
      </c>
      <c r="M20" s="35">
        <v>81193</v>
      </c>
      <c r="N20" s="35">
        <v>44207</v>
      </c>
      <c r="O20" s="35">
        <v>47218</v>
      </c>
      <c r="P20" s="35">
        <v>52975</v>
      </c>
      <c r="Q20" s="35">
        <v>114271</v>
      </c>
      <c r="R20" s="35">
        <v>72066</v>
      </c>
      <c r="S20" s="35">
        <v>76278</v>
      </c>
      <c r="T20" s="35">
        <v>76411</v>
      </c>
      <c r="U20" s="35">
        <v>78325.5</v>
      </c>
      <c r="V20" s="35">
        <v>86761</v>
      </c>
      <c r="W20" s="35">
        <v>79890</v>
      </c>
      <c r="X20" s="35">
        <v>78542.8</v>
      </c>
      <c r="Y20" s="34">
        <v>41654</v>
      </c>
    </row>
    <row r="21" spans="1:25">
      <c r="B21" s="5" t="s">
        <v>4</v>
      </c>
      <c r="C21" s="26">
        <f>C20/C19</f>
        <v>6.4902676903921979</v>
      </c>
      <c r="D21" s="25">
        <f t="shared" ref="D21" si="49">D20/D19</f>
        <v>5.8523898247081636</v>
      </c>
      <c r="E21" s="25">
        <f t="shared" ref="E21" si="50">E20/E19</f>
        <v>5.1857875815852852</v>
      </c>
      <c r="F21" s="25">
        <f t="shared" ref="F21" si="51">F20/F19</f>
        <v>5.4711810035217407</v>
      </c>
      <c r="G21" s="25">
        <f t="shared" ref="G21" si="52">G20/G19</f>
        <v>6.4474776240846214</v>
      </c>
      <c r="H21" s="25">
        <f t="shared" ref="H21" si="53">H20/H19</f>
        <v>5.7803723816912331</v>
      </c>
      <c r="I21" s="25">
        <f t="shared" ref="I21" si="54">I20/I19</f>
        <v>6.4392768697374931</v>
      </c>
      <c r="J21" s="25">
        <f t="shared" ref="J21" si="55">J20/J19</f>
        <v>5.691419223714866</v>
      </c>
      <c r="K21" s="25">
        <f t="shared" ref="K21" si="56">K20/K19</f>
        <v>5.6609112175559764</v>
      </c>
      <c r="L21" s="25">
        <f t="shared" ref="L21" si="57">L20/L19</f>
        <v>6.1494312982089161</v>
      </c>
      <c r="M21" s="25">
        <f t="shared" ref="M21" si="58">M20/M19</f>
        <v>5.3251787236833472</v>
      </c>
      <c r="N21" s="25">
        <f t="shared" ref="N21" si="59">N20/N19</f>
        <v>3.8666141870025363</v>
      </c>
      <c r="O21" s="25">
        <f t="shared" ref="O21" si="60">O20/O19</f>
        <v>3.5986586388232604</v>
      </c>
      <c r="P21" s="25">
        <f t="shared" ref="P21" si="61">P20/P19</f>
        <v>2.8139275470094551</v>
      </c>
      <c r="Q21" s="25">
        <f t="shared" ref="Q21" si="62">Q20/Q19</f>
        <v>3.1575297043382151</v>
      </c>
      <c r="R21" s="25">
        <f t="shared" ref="R21" si="63">R20/R19</f>
        <v>3.0229026845637583</v>
      </c>
      <c r="S21" s="25">
        <f t="shared" ref="S21" si="64">S20/S19</f>
        <v>3.0447868433657992</v>
      </c>
      <c r="T21" s="25">
        <f t="shared" ref="T21" si="65">T20/T19</f>
        <v>3.0402657860183822</v>
      </c>
      <c r="U21" s="25">
        <f t="shared" ref="U21" si="66">U20/U19</f>
        <v>3.7312071265243905</v>
      </c>
      <c r="V21" s="25">
        <f t="shared" ref="V21" si="67">V20/V19</f>
        <v>3.9269032316466008</v>
      </c>
      <c r="W21" s="25">
        <f t="shared" ref="W21" si="68">W20/W19</f>
        <v>3.6599780098955472</v>
      </c>
      <c r="X21" s="25">
        <f t="shared" ref="X21" si="69">X20/X19</f>
        <v>3.8431668053041053</v>
      </c>
      <c r="Y21" s="24">
        <f t="shared" ref="Y21" si="70">Y20/Y19</f>
        <v>2.3048915449313854</v>
      </c>
    </row>
    <row r="22" spans="1:25">
      <c r="B22" s="7" t="s">
        <v>14</v>
      </c>
      <c r="C22" s="39"/>
      <c r="D22" s="38"/>
      <c r="E22" s="38"/>
      <c r="F22" s="38"/>
      <c r="G22" s="38"/>
      <c r="H22" s="38"/>
      <c r="I22" s="38"/>
      <c r="J22" s="38"/>
      <c r="K22" s="38"/>
      <c r="L22" s="38"/>
      <c r="M22" s="38"/>
      <c r="N22" s="38"/>
      <c r="O22" s="38"/>
      <c r="P22" s="38"/>
      <c r="Q22" s="38"/>
      <c r="R22" s="38"/>
      <c r="S22" s="38"/>
      <c r="T22" s="38"/>
      <c r="U22" s="38"/>
      <c r="V22" s="38"/>
      <c r="W22" s="38"/>
      <c r="X22" s="38"/>
      <c r="Y22" s="37"/>
    </row>
    <row r="23" spans="1:25">
      <c r="B23" s="5" t="s">
        <v>2</v>
      </c>
      <c r="C23" s="36">
        <v>4083</v>
      </c>
      <c r="D23" s="35">
        <v>4832</v>
      </c>
      <c r="E23" s="35">
        <v>5599</v>
      </c>
      <c r="F23" s="35">
        <v>4199</v>
      </c>
      <c r="G23" s="35">
        <v>3629</v>
      </c>
      <c r="H23" s="35">
        <v>3236</v>
      </c>
      <c r="I23" s="35">
        <v>5955</v>
      </c>
      <c r="J23" s="35">
        <v>5054</v>
      </c>
      <c r="K23" s="35">
        <v>5300</v>
      </c>
      <c r="L23" s="35">
        <v>3187</v>
      </c>
      <c r="M23" s="35">
        <v>3014</v>
      </c>
      <c r="N23" s="35">
        <v>2889</v>
      </c>
      <c r="O23" s="35">
        <v>3316</v>
      </c>
      <c r="P23" s="35">
        <v>2910</v>
      </c>
      <c r="Q23" s="35">
        <v>3932</v>
      </c>
      <c r="R23" s="35">
        <v>4392</v>
      </c>
      <c r="S23" s="35">
        <v>7084</v>
      </c>
      <c r="T23" s="35">
        <v>5359</v>
      </c>
      <c r="U23" s="35">
        <v>6681</v>
      </c>
      <c r="V23" s="35">
        <v>5824</v>
      </c>
      <c r="W23" s="35">
        <v>5827</v>
      </c>
      <c r="X23" s="35">
        <v>6221</v>
      </c>
      <c r="Y23" s="34">
        <v>5600</v>
      </c>
    </row>
    <row r="24" spans="1:25">
      <c r="B24" s="4" t="s">
        <v>18</v>
      </c>
      <c r="C24" s="36">
        <v>116500</v>
      </c>
      <c r="D24" s="35">
        <v>101994</v>
      </c>
      <c r="E24" s="35">
        <v>111981</v>
      </c>
      <c r="F24" s="35">
        <v>101559</v>
      </c>
      <c r="G24" s="35">
        <v>104662</v>
      </c>
      <c r="H24" s="35">
        <v>95385</v>
      </c>
      <c r="I24" s="35">
        <v>100812</v>
      </c>
      <c r="J24" s="35">
        <v>93858</v>
      </c>
      <c r="K24" s="35">
        <v>71312</v>
      </c>
      <c r="L24" s="35">
        <v>67468</v>
      </c>
      <c r="M24" s="35">
        <v>73636</v>
      </c>
      <c r="N24" s="35">
        <v>61176</v>
      </c>
      <c r="O24" s="35">
        <v>55987</v>
      </c>
      <c r="P24" s="35">
        <v>59351</v>
      </c>
      <c r="Q24" s="35">
        <v>62278</v>
      </c>
      <c r="R24" s="35">
        <v>60185</v>
      </c>
      <c r="S24" s="35">
        <v>84898</v>
      </c>
      <c r="T24" s="35">
        <v>59150</v>
      </c>
      <c r="U24" s="35">
        <v>65259.93</v>
      </c>
      <c r="V24" s="35">
        <v>36926</v>
      </c>
      <c r="W24" s="35">
        <v>38909</v>
      </c>
      <c r="X24" s="35">
        <v>38742.400000000001</v>
      </c>
      <c r="Y24" s="34">
        <v>35917</v>
      </c>
    </row>
    <row r="25" spans="1:25">
      <c r="B25" s="5" t="s">
        <v>4</v>
      </c>
      <c r="C25" s="26">
        <f>C24/C23</f>
        <v>28.532941464609355</v>
      </c>
      <c r="D25" s="25">
        <f t="shared" ref="D25" si="71">D24/D23</f>
        <v>21.108029801324502</v>
      </c>
      <c r="E25" s="25">
        <f t="shared" ref="E25" si="72">E24/E23</f>
        <v>20.000178603322023</v>
      </c>
      <c r="F25" s="25">
        <f t="shared" ref="F25" si="73">F24/F23</f>
        <v>24.186472969754703</v>
      </c>
      <c r="G25" s="25">
        <f t="shared" ref="G25" si="74">G24/G23</f>
        <v>28.840451915128135</v>
      </c>
      <c r="H25" s="25">
        <f t="shared" ref="H25" si="75">H24/H23</f>
        <v>29.476205191594563</v>
      </c>
      <c r="I25" s="25">
        <f t="shared" ref="I25" si="76">I24/I23</f>
        <v>16.928967254408061</v>
      </c>
      <c r="J25" s="25">
        <f t="shared" ref="J25" si="77">J24/J23</f>
        <v>18.571032845271073</v>
      </c>
      <c r="K25" s="25">
        <f t="shared" ref="K25" si="78">K24/K23</f>
        <v>13.455094339622642</v>
      </c>
      <c r="L25" s="25">
        <f t="shared" ref="L25" si="79">L24/L23</f>
        <v>21.169752117979289</v>
      </c>
      <c r="M25" s="25">
        <f t="shared" ref="M25" si="80">M24/M23</f>
        <v>24.431320504313206</v>
      </c>
      <c r="N25" s="25">
        <f t="shared" ref="N25" si="81">N24/N23</f>
        <v>21.175493250259606</v>
      </c>
      <c r="O25" s="25">
        <f t="shared" ref="O25" si="82">O24/O23</f>
        <v>16.883896260554884</v>
      </c>
      <c r="P25" s="25">
        <f t="shared" ref="P25" si="83">P24/P23</f>
        <v>20.39553264604811</v>
      </c>
      <c r="Q25" s="25">
        <f t="shared" ref="Q25" si="84">Q24/Q23</f>
        <v>15.838758901322482</v>
      </c>
      <c r="R25" s="25">
        <f t="shared" ref="R25" si="85">R24/R23</f>
        <v>13.703324225865209</v>
      </c>
      <c r="S25" s="25">
        <f t="shared" ref="S25" si="86">S24/S23</f>
        <v>11.98447204968944</v>
      </c>
      <c r="T25" s="25">
        <f t="shared" ref="T25" si="87">T24/T23</f>
        <v>11.037506997574175</v>
      </c>
      <c r="U25" s="25">
        <f t="shared" ref="U25" si="88">U24/U23</f>
        <v>9.7679883251010331</v>
      </c>
      <c r="V25" s="25">
        <f t="shared" ref="V25" si="89">V24/V23</f>
        <v>6.3403159340659343</v>
      </c>
      <c r="W25" s="25">
        <f t="shared" ref="W25" si="90">W24/W23</f>
        <v>6.6773639951947832</v>
      </c>
      <c r="X25" s="25">
        <f t="shared" ref="X25" si="91">X24/X23</f>
        <v>6.2276804372287415</v>
      </c>
      <c r="Y25" s="24">
        <f t="shared" ref="Y25" si="92">Y24/Y23</f>
        <v>6.4137500000000003</v>
      </c>
    </row>
    <row r="26" spans="1:25">
      <c r="B26" s="7" t="s">
        <v>13</v>
      </c>
      <c r="C26" s="36"/>
      <c r="D26" s="35"/>
      <c r="E26" s="35"/>
      <c r="F26" s="35"/>
      <c r="G26" s="35"/>
      <c r="H26" s="35"/>
      <c r="I26" s="35"/>
      <c r="J26" s="35"/>
      <c r="K26" s="35"/>
      <c r="L26" s="35"/>
      <c r="M26" s="35"/>
      <c r="N26" s="35"/>
      <c r="O26" s="35"/>
      <c r="P26" s="35"/>
      <c r="Q26" s="35"/>
      <c r="R26" s="35"/>
      <c r="S26" s="35"/>
      <c r="T26" s="35"/>
      <c r="U26" s="35"/>
      <c r="V26" s="35"/>
      <c r="W26" s="35"/>
      <c r="X26" s="35"/>
      <c r="Y26" s="34"/>
    </row>
    <row r="27" spans="1:25">
      <c r="B27" s="5" t="s">
        <v>2</v>
      </c>
      <c r="C27" s="36">
        <v>10287</v>
      </c>
      <c r="D27" s="35">
        <v>10103</v>
      </c>
      <c r="E27" s="35">
        <v>13248</v>
      </c>
      <c r="F27" s="35">
        <v>10220</v>
      </c>
      <c r="G27" s="35">
        <v>9329</v>
      </c>
      <c r="H27" s="35">
        <v>8762</v>
      </c>
      <c r="I27" s="35">
        <v>3192</v>
      </c>
      <c r="J27" s="35">
        <v>3260</v>
      </c>
      <c r="K27" s="35">
        <v>4557</v>
      </c>
      <c r="L27" s="35">
        <v>4433</v>
      </c>
      <c r="M27" s="35">
        <v>3315</v>
      </c>
      <c r="N27" s="35">
        <v>2244</v>
      </c>
      <c r="O27" s="35">
        <v>2034</v>
      </c>
      <c r="P27" s="35">
        <v>1936</v>
      </c>
      <c r="Q27" s="35">
        <v>3235</v>
      </c>
      <c r="R27" s="35">
        <v>3325</v>
      </c>
      <c r="S27" s="35">
        <v>4137</v>
      </c>
      <c r="T27" s="35">
        <v>3586</v>
      </c>
      <c r="U27" s="35">
        <v>4707</v>
      </c>
      <c r="V27" s="35">
        <v>4388</v>
      </c>
      <c r="W27" s="35">
        <v>4130</v>
      </c>
      <c r="X27" s="35">
        <v>4203</v>
      </c>
      <c r="Y27" s="34">
        <v>4174</v>
      </c>
    </row>
    <row r="28" spans="1:25">
      <c r="B28" s="4" t="s">
        <v>18</v>
      </c>
      <c r="C28" s="36">
        <v>177669</v>
      </c>
      <c r="D28" s="35">
        <v>146202</v>
      </c>
      <c r="E28" s="35">
        <v>217187</v>
      </c>
      <c r="F28" s="35">
        <v>218078</v>
      </c>
      <c r="G28" s="35">
        <v>197765</v>
      </c>
      <c r="H28" s="35">
        <v>191800</v>
      </c>
      <c r="I28" s="35">
        <v>96944</v>
      </c>
      <c r="J28" s="35">
        <v>103756</v>
      </c>
      <c r="K28" s="35">
        <v>99422</v>
      </c>
      <c r="L28" s="35">
        <v>94554</v>
      </c>
      <c r="M28" s="35">
        <v>51886</v>
      </c>
      <c r="N28" s="35">
        <v>46366</v>
      </c>
      <c r="O28" s="35">
        <v>39898</v>
      </c>
      <c r="P28" s="35">
        <v>40743</v>
      </c>
      <c r="Q28" s="35">
        <v>44477</v>
      </c>
      <c r="R28" s="35">
        <v>49465</v>
      </c>
      <c r="S28" s="35">
        <v>52260</v>
      </c>
      <c r="T28" s="35">
        <v>42449</v>
      </c>
      <c r="U28" s="35">
        <v>39257.08</v>
      </c>
      <c r="V28" s="35">
        <v>31591</v>
      </c>
      <c r="W28" s="35">
        <v>27161</v>
      </c>
      <c r="X28" s="35">
        <v>33372</v>
      </c>
      <c r="Y28" s="34">
        <v>25088</v>
      </c>
    </row>
    <row r="29" spans="1:25" ht="15" thickBot="1">
      <c r="A29" s="8"/>
      <c r="B29" s="1" t="s">
        <v>4</v>
      </c>
      <c r="C29" s="26">
        <f>C28/C27</f>
        <v>17.27121609798775</v>
      </c>
      <c r="D29" s="25">
        <f t="shared" ref="D29" si="93">D28/D27</f>
        <v>14.471147184004751</v>
      </c>
      <c r="E29" s="25">
        <f t="shared" ref="E29" si="94">E28/E27</f>
        <v>16.393946256038646</v>
      </c>
      <c r="F29" s="25">
        <f t="shared" ref="F29" si="95">F28/F27</f>
        <v>21.338356164383562</v>
      </c>
      <c r="G29" s="25">
        <f t="shared" ref="G29" si="96">G28/G27</f>
        <v>21.198949512273554</v>
      </c>
      <c r="H29" s="25">
        <f t="shared" ref="H29" si="97">H28/H27</f>
        <v>21.889979456745035</v>
      </c>
      <c r="I29" s="25">
        <f t="shared" ref="I29" si="98">I28/I27</f>
        <v>30.370927318295738</v>
      </c>
      <c r="J29" s="25">
        <f t="shared" ref="J29" si="99">J28/J27</f>
        <v>31.826993865030676</v>
      </c>
      <c r="K29" s="25">
        <f t="shared" ref="K29" si="100">K28/K27</f>
        <v>21.817423743691023</v>
      </c>
      <c r="L29" s="25">
        <f t="shared" ref="L29" si="101">L28/L27</f>
        <v>21.329573652154298</v>
      </c>
      <c r="M29" s="25">
        <f t="shared" ref="M29" si="102">M28/M27</f>
        <v>15.651885369532428</v>
      </c>
      <c r="N29" s="25">
        <f t="shared" ref="N29" si="103">N28/N27</f>
        <v>20.662210338680929</v>
      </c>
      <c r="O29" s="25">
        <f t="shared" ref="O29" si="104">O28/O27</f>
        <v>19.615535889872174</v>
      </c>
      <c r="P29" s="25">
        <f t="shared" ref="P29" si="105">P28/P27</f>
        <v>21.044938016528924</v>
      </c>
      <c r="Q29" s="25">
        <f t="shared" ref="Q29" si="106">Q28/Q27</f>
        <v>13.748686244204018</v>
      </c>
      <c r="R29" s="25">
        <f t="shared" ref="R29" si="107">R28/R27</f>
        <v>14.876691729323309</v>
      </c>
      <c r="S29" s="25">
        <f t="shared" ref="S29" si="108">S28/S27</f>
        <v>12.632342277012327</v>
      </c>
      <c r="T29" s="25">
        <f t="shared" ref="T29" si="109">T28/T27</f>
        <v>11.837423312883436</v>
      </c>
      <c r="U29" s="25">
        <f t="shared" ref="U29" si="110">U28/U27</f>
        <v>8.3401487146802644</v>
      </c>
      <c r="V29" s="25">
        <f t="shared" ref="V29" si="111">V28/V27</f>
        <v>7.1994074749316317</v>
      </c>
      <c r="W29" s="25">
        <f t="shared" ref="W29" si="112">W28/W27</f>
        <v>6.5765133171912833</v>
      </c>
      <c r="X29" s="25">
        <f t="shared" ref="X29" si="113">X28/X27</f>
        <v>7.940042826552463</v>
      </c>
      <c r="Y29" s="24">
        <f t="shared" ref="Y29" si="114">Y28/Y27</f>
        <v>6.0105414470531864</v>
      </c>
    </row>
    <row r="30" spans="1:25" ht="15" thickTop="1">
      <c r="A30" s="8"/>
      <c r="B30" s="33" t="s">
        <v>3</v>
      </c>
      <c r="C30" s="32"/>
      <c r="D30" s="31"/>
      <c r="E30" s="31"/>
      <c r="F30" s="31"/>
      <c r="G30" s="31"/>
      <c r="H30" s="31"/>
      <c r="I30" s="31"/>
      <c r="J30" s="31"/>
      <c r="K30" s="31"/>
      <c r="L30" s="31"/>
      <c r="M30" s="31"/>
      <c r="N30" s="31"/>
      <c r="O30" s="31"/>
      <c r="P30" s="31"/>
      <c r="Q30" s="31"/>
      <c r="R30" s="31"/>
      <c r="S30" s="31"/>
      <c r="T30" s="31"/>
      <c r="U30" s="31"/>
      <c r="V30" s="31"/>
      <c r="W30" s="31"/>
      <c r="X30" s="31"/>
      <c r="Y30" s="30"/>
    </row>
    <row r="31" spans="1:25">
      <c r="B31" s="5" t="s">
        <v>2</v>
      </c>
      <c r="C31" s="26">
        <f>100</f>
        <v>100</v>
      </c>
      <c r="D31" s="25">
        <f t="shared" ref="D31:X31" si="115">D7/$C$7*100</f>
        <v>108.65718875116876</v>
      </c>
      <c r="E31" s="25">
        <f t="shared" si="115"/>
        <v>124.08956869890437</v>
      </c>
      <c r="F31" s="25">
        <f t="shared" si="115"/>
        <v>111.31595981875284</v>
      </c>
      <c r="G31" s="25">
        <f t="shared" si="115"/>
        <v>97.916616719810122</v>
      </c>
      <c r="H31" s="25">
        <f t="shared" si="115"/>
        <v>98.261849392246646</v>
      </c>
      <c r="I31" s="25">
        <f t="shared" si="115"/>
        <v>79.616887631560019</v>
      </c>
      <c r="J31" s="25">
        <f t="shared" si="115"/>
        <v>78.1448538754765</v>
      </c>
      <c r="K31" s="25">
        <f t="shared" si="115"/>
        <v>76.145381314281607</v>
      </c>
      <c r="L31" s="25">
        <f t="shared" si="115"/>
        <v>64.342739325357826</v>
      </c>
      <c r="M31" s="25">
        <f t="shared" si="115"/>
        <v>60.52600033564287</v>
      </c>
      <c r="N31" s="25">
        <f t="shared" si="115"/>
        <v>48.159957804895591</v>
      </c>
      <c r="O31" s="25">
        <f t="shared" si="115"/>
        <v>52.266788137421784</v>
      </c>
      <c r="P31" s="25">
        <f t="shared" si="115"/>
        <v>63.79612092733332</v>
      </c>
      <c r="Q31" s="25">
        <f t="shared" si="115"/>
        <v>114.0346671141905</v>
      </c>
      <c r="R31" s="25">
        <f t="shared" si="115"/>
        <v>82.870226079451456</v>
      </c>
      <c r="S31" s="25">
        <f t="shared" si="115"/>
        <v>95.842823236076811</v>
      </c>
      <c r="T31" s="25">
        <f t="shared" si="115"/>
        <v>91.462683704538378</v>
      </c>
      <c r="U31" s="25">
        <f t="shared" si="115"/>
        <v>86.651003332454266</v>
      </c>
      <c r="V31" s="25">
        <f t="shared" si="115"/>
        <v>86.953081920836226</v>
      </c>
      <c r="W31" s="25">
        <f t="shared" si="115"/>
        <v>86.655798230682564</v>
      </c>
      <c r="X31" s="25">
        <f t="shared" si="115"/>
        <v>85.401932343986005</v>
      </c>
      <c r="Y31" s="24">
        <f t="shared" ref="Y31" si="116">Y7/$C$7*100</f>
        <v>85.644074704514395</v>
      </c>
    </row>
    <row r="32" spans="1:25">
      <c r="B32" s="4" t="s">
        <v>1</v>
      </c>
      <c r="C32" s="26">
        <f>100</f>
        <v>100</v>
      </c>
      <c r="D32" s="25">
        <f t="shared" ref="D32:X32" si="117">D8/$C$8*100</f>
        <v>90.60628498425109</v>
      </c>
      <c r="E32" s="25">
        <f t="shared" si="117"/>
        <v>111.01963146405373</v>
      </c>
      <c r="F32" s="25">
        <f t="shared" si="117"/>
        <v>110.46583004991308</v>
      </c>
      <c r="G32" s="25">
        <f t="shared" si="117"/>
        <v>109.41807690684549</v>
      </c>
      <c r="H32" s="25">
        <f t="shared" si="117"/>
        <v>103.27811304684771</v>
      </c>
      <c r="I32" s="25">
        <f t="shared" si="117"/>
        <v>89.727338645632301</v>
      </c>
      <c r="J32" s="25">
        <f t="shared" si="117"/>
        <v>80.869201582180125</v>
      </c>
      <c r="K32" s="25">
        <f t="shared" si="117"/>
        <v>69.232466152317443</v>
      </c>
      <c r="L32" s="25">
        <f t="shared" si="117"/>
        <v>66.210057049026858</v>
      </c>
      <c r="M32" s="25">
        <f t="shared" si="117"/>
        <v>56.283449643779271</v>
      </c>
      <c r="N32" s="25">
        <f t="shared" si="117"/>
        <v>45.0127180581079</v>
      </c>
      <c r="O32" s="25">
        <f t="shared" si="117"/>
        <v>42.124970746548094</v>
      </c>
      <c r="P32" s="25">
        <f t="shared" si="117"/>
        <v>44.528357624888251</v>
      </c>
      <c r="Q32" s="25">
        <f t="shared" si="117"/>
        <v>57.828223730400182</v>
      </c>
      <c r="R32" s="25">
        <f t="shared" si="117"/>
        <v>49.78534680207018</v>
      </c>
      <c r="S32" s="25">
        <f t="shared" si="117"/>
        <v>56.966541724054579</v>
      </c>
      <c r="T32" s="25">
        <f t="shared" si="117"/>
        <v>49.128151220204636</v>
      </c>
      <c r="U32" s="25">
        <f t="shared" si="117"/>
        <v>43.703412199360834</v>
      </c>
      <c r="V32" s="25">
        <f t="shared" si="117"/>
        <v>39.345029598738549</v>
      </c>
      <c r="W32" s="25">
        <f t="shared" si="117"/>
        <v>36.884478597982756</v>
      </c>
      <c r="X32" s="25">
        <f t="shared" si="117"/>
        <v>36.955741925088141</v>
      </c>
      <c r="Y32" s="24">
        <f t="shared" ref="Y32" si="118">Y8/$C$8*100</f>
        <v>28.973002420843034</v>
      </c>
    </row>
    <row r="33" spans="2:25">
      <c r="B33" s="7" t="s">
        <v>17</v>
      </c>
      <c r="C33" s="26"/>
      <c r="D33" s="25"/>
      <c r="E33" s="25"/>
      <c r="F33" s="25"/>
      <c r="G33" s="25"/>
      <c r="H33" s="25"/>
      <c r="I33" s="25"/>
      <c r="J33" s="25"/>
      <c r="K33" s="25"/>
      <c r="L33" s="25"/>
      <c r="M33" s="25"/>
      <c r="N33" s="25"/>
      <c r="O33" s="25"/>
      <c r="P33" s="25"/>
      <c r="Q33" s="25"/>
      <c r="R33" s="25"/>
      <c r="S33" s="25"/>
      <c r="T33" s="25"/>
      <c r="U33" s="25"/>
      <c r="V33" s="25"/>
      <c r="W33" s="25"/>
      <c r="X33" s="25"/>
      <c r="Y33" s="24"/>
    </row>
    <row r="34" spans="2:25">
      <c r="B34" s="5" t="s">
        <v>2</v>
      </c>
      <c r="C34" s="26">
        <f>100</f>
        <v>100</v>
      </c>
      <c r="D34" s="25">
        <f t="shared" ref="D34:X34" si="119">D11/$C$11*100</f>
        <v>111.14077758677443</v>
      </c>
      <c r="E34" s="25">
        <f t="shared" si="119"/>
        <v>120.37599209977689</v>
      </c>
      <c r="F34" s="25">
        <f t="shared" si="119"/>
        <v>117.08423247137998</v>
      </c>
      <c r="G34" s="25">
        <f t="shared" si="119"/>
        <v>101.98602830913282</v>
      </c>
      <c r="H34" s="25">
        <f t="shared" si="119"/>
        <v>106.02392011996635</v>
      </c>
      <c r="I34" s="25">
        <f t="shared" si="119"/>
        <v>88.007022420540579</v>
      </c>
      <c r="J34" s="25">
        <f t="shared" si="119"/>
        <v>88.808017263450495</v>
      </c>
      <c r="K34" s="25">
        <f t="shared" si="119"/>
        <v>80.114114333784428</v>
      </c>
      <c r="L34" s="25">
        <f t="shared" si="119"/>
        <v>70.290040598368748</v>
      </c>
      <c r="M34" s="25">
        <f t="shared" si="119"/>
        <v>69.189129878204895</v>
      </c>
      <c r="N34" s="25">
        <f t="shared" si="119"/>
        <v>54.698072491862035</v>
      </c>
      <c r="O34" s="25">
        <f t="shared" si="119"/>
        <v>60.169708496397355</v>
      </c>
      <c r="P34" s="25">
        <f t="shared" si="119"/>
        <v>79.602062836033795</v>
      </c>
      <c r="Q34" s="25">
        <f t="shared" si="119"/>
        <v>147.75611718664277</v>
      </c>
      <c r="R34" s="25">
        <f t="shared" si="119"/>
        <v>98.200504736476361</v>
      </c>
      <c r="S34" s="25">
        <f t="shared" si="119"/>
        <v>105.17537763797959</v>
      </c>
      <c r="T34" s="25">
        <f t="shared" si="119"/>
        <v>106.81759994147984</v>
      </c>
      <c r="U34" s="25">
        <f t="shared" si="119"/>
        <v>90.541677334406202</v>
      </c>
      <c r="V34" s="25">
        <f t="shared" si="119"/>
        <v>95.303756263487074</v>
      </c>
      <c r="W34" s="25">
        <f t="shared" si="119"/>
        <v>95.782890164953741</v>
      </c>
      <c r="X34" s="25">
        <f t="shared" si="119"/>
        <v>92.161954573717125</v>
      </c>
      <c r="Y34" s="24">
        <f t="shared" ref="Y34" si="120">Y11/$C$11*100</f>
        <v>94.908745108079444</v>
      </c>
    </row>
    <row r="35" spans="2:25">
      <c r="B35" s="4" t="s">
        <v>1</v>
      </c>
      <c r="C35" s="26">
        <f>100</f>
        <v>100</v>
      </c>
      <c r="D35" s="25">
        <f t="shared" ref="D35:X35" si="121">D12/$C$12*100</f>
        <v>98.68053201371859</v>
      </c>
      <c r="E35" s="25">
        <f t="shared" si="121"/>
        <v>109.88258187789748</v>
      </c>
      <c r="F35" s="25">
        <f t="shared" si="121"/>
        <v>112.80768875172254</v>
      </c>
      <c r="G35" s="25">
        <f t="shared" si="121"/>
        <v>117.97989759484364</v>
      </c>
      <c r="H35" s="25">
        <f t="shared" si="121"/>
        <v>110.59844939397809</v>
      </c>
      <c r="I35" s="25">
        <f t="shared" si="121"/>
        <v>118.87010922923169</v>
      </c>
      <c r="J35" s="25">
        <f t="shared" si="121"/>
        <v>98.602165213065234</v>
      </c>
      <c r="K35" s="25">
        <f t="shared" si="121"/>
        <v>83.728762817154404</v>
      </c>
      <c r="L35" s="25">
        <f t="shared" si="121"/>
        <v>80.627550773321829</v>
      </c>
      <c r="M35" s="25">
        <f t="shared" si="121"/>
        <v>73.914421692634846</v>
      </c>
      <c r="N35" s="25">
        <f t="shared" si="121"/>
        <v>55.962700924992404</v>
      </c>
      <c r="O35" s="25">
        <f t="shared" si="121"/>
        <v>54.46712776870347</v>
      </c>
      <c r="P35" s="25">
        <f t="shared" si="121"/>
        <v>58.130115304860063</v>
      </c>
      <c r="Q35" s="25">
        <f t="shared" si="121"/>
        <v>85.722273341639635</v>
      </c>
      <c r="R35" s="25">
        <f t="shared" si="121"/>
        <v>65.988368253521003</v>
      </c>
      <c r="S35" s="25">
        <f t="shared" si="121"/>
        <v>70.359298573107864</v>
      </c>
      <c r="T35" s="25">
        <f t="shared" si="121"/>
        <v>68.024584281733041</v>
      </c>
      <c r="U35" s="25">
        <f t="shared" si="121"/>
        <v>54.289481678458372</v>
      </c>
      <c r="V35" s="25">
        <f t="shared" si="121"/>
        <v>60.135953191245818</v>
      </c>
      <c r="W35" s="25">
        <f t="shared" si="121"/>
        <v>55.566024029550441</v>
      </c>
      <c r="X35" s="25">
        <f t="shared" si="121"/>
        <v>53.068456482211182</v>
      </c>
      <c r="Y35" s="24">
        <f t="shared" ref="Y35" si="122">Y12/$C$12*100</f>
        <v>39.638191928219534</v>
      </c>
    </row>
    <row r="36" spans="2:25">
      <c r="B36" s="7" t="s">
        <v>16</v>
      </c>
      <c r="C36" s="26"/>
      <c r="D36" s="25"/>
      <c r="E36" s="25"/>
      <c r="F36" s="25"/>
      <c r="G36" s="25"/>
      <c r="H36" s="25"/>
      <c r="I36" s="25"/>
      <c r="J36" s="25"/>
      <c r="K36" s="25"/>
      <c r="L36" s="25"/>
      <c r="M36" s="25"/>
      <c r="N36" s="25"/>
      <c r="O36" s="25"/>
      <c r="P36" s="25"/>
      <c r="Q36" s="25"/>
      <c r="R36" s="25"/>
      <c r="S36" s="25"/>
      <c r="T36" s="25"/>
      <c r="U36" s="25"/>
      <c r="V36" s="25"/>
      <c r="W36" s="25"/>
      <c r="X36" s="25"/>
      <c r="Y36" s="24"/>
    </row>
    <row r="37" spans="2:25">
      <c r="B37" s="5" t="s">
        <v>2</v>
      </c>
      <c r="C37" s="26">
        <f>100</f>
        <v>100</v>
      </c>
      <c r="D37" s="25">
        <f t="shared" ref="D37:X37" si="123">D15/$C$15*100</f>
        <v>125.93961799137401</v>
      </c>
      <c r="E37" s="25">
        <f t="shared" si="123"/>
        <v>131.26925446703635</v>
      </c>
      <c r="F37" s="25">
        <f t="shared" si="123"/>
        <v>102.68022181146026</v>
      </c>
      <c r="G37" s="25">
        <f t="shared" si="123"/>
        <v>101.78681454097351</v>
      </c>
      <c r="H37" s="25">
        <f t="shared" si="123"/>
        <v>98.829328404189781</v>
      </c>
      <c r="I37" s="25">
        <f t="shared" si="123"/>
        <v>119.2852741836106</v>
      </c>
      <c r="J37" s="25">
        <f t="shared" si="123"/>
        <v>126.55576093653728</v>
      </c>
      <c r="K37" s="25">
        <f t="shared" si="123"/>
        <v>121.68823166974738</v>
      </c>
      <c r="L37" s="25">
        <f t="shared" si="123"/>
        <v>120.76401725200245</v>
      </c>
      <c r="M37" s="25">
        <f t="shared" si="123"/>
        <v>113.06223043746148</v>
      </c>
      <c r="N37" s="25">
        <f t="shared" si="123"/>
        <v>108.50277264325324</v>
      </c>
      <c r="O37" s="25">
        <f t="shared" si="123"/>
        <v>102.58780036968578</v>
      </c>
      <c r="P37" s="25">
        <f t="shared" si="123"/>
        <v>90.511398644485524</v>
      </c>
      <c r="Q37" s="25">
        <f t="shared" si="123"/>
        <v>129.63647566235366</v>
      </c>
      <c r="R37" s="25">
        <f t="shared" si="123"/>
        <v>92.698706099815155</v>
      </c>
      <c r="S37" s="25">
        <f t="shared" si="123"/>
        <v>114.10967344423906</v>
      </c>
      <c r="T37" s="25">
        <f t="shared" si="123"/>
        <v>125.44670363524337</v>
      </c>
      <c r="U37" s="25">
        <f t="shared" si="123"/>
        <v>115.92729513247073</v>
      </c>
      <c r="V37" s="25">
        <f t="shared" si="123"/>
        <v>122.08872458410352</v>
      </c>
      <c r="W37" s="25">
        <f t="shared" si="123"/>
        <v>134.31916204559457</v>
      </c>
      <c r="X37" s="25">
        <f t="shared" si="123"/>
        <v>146.67282809611831</v>
      </c>
      <c r="Y37" s="24">
        <f>Y15/$C$15*100</f>
        <v>242.66789895255698</v>
      </c>
    </row>
    <row r="38" spans="2:25">
      <c r="B38" s="4" t="s">
        <v>1</v>
      </c>
      <c r="C38" s="26">
        <f>100</f>
        <v>100</v>
      </c>
      <c r="D38" s="25">
        <f t="shared" ref="D38:X38" si="124">D16/$C$16*100</f>
        <v>99.256579133335222</v>
      </c>
      <c r="E38" s="25">
        <f t="shared" si="124"/>
        <v>142.75659326681176</v>
      </c>
      <c r="F38" s="25">
        <f t="shared" si="124"/>
        <v>140.37368912004976</v>
      </c>
      <c r="G38" s="25">
        <f t="shared" si="124"/>
        <v>154.75732820759248</v>
      </c>
      <c r="H38" s="25">
        <f t="shared" si="124"/>
        <v>144.43282358594567</v>
      </c>
      <c r="I38" s="25">
        <f t="shared" si="124"/>
        <v>197.85312491166579</v>
      </c>
      <c r="J38" s="25">
        <f t="shared" si="124"/>
        <v>154.26548322356334</v>
      </c>
      <c r="K38" s="25">
        <f t="shared" si="124"/>
        <v>125.14204143935326</v>
      </c>
      <c r="L38" s="25">
        <f t="shared" si="124"/>
        <v>125.87415552477599</v>
      </c>
      <c r="M38" s="25">
        <f t="shared" si="124"/>
        <v>122.52876162478445</v>
      </c>
      <c r="N38" s="25">
        <f t="shared" si="124"/>
        <v>117.17358735901857</v>
      </c>
      <c r="O38" s="25">
        <f t="shared" si="124"/>
        <v>108.1168555841366</v>
      </c>
      <c r="P38" s="25">
        <f t="shared" si="124"/>
        <v>111.73926562455834</v>
      </c>
      <c r="Q38" s="25">
        <f t="shared" si="124"/>
        <v>113.6840319981909</v>
      </c>
      <c r="R38" s="25">
        <f t="shared" si="124"/>
        <v>109.98388783673008</v>
      </c>
      <c r="S38" s="25">
        <f t="shared" si="124"/>
        <v>118.06258303417474</v>
      </c>
      <c r="T38" s="25">
        <f t="shared" si="124"/>
        <v>110.37962518020183</v>
      </c>
      <c r="U38" s="25">
        <f t="shared" si="124"/>
        <v>63.580857619357211</v>
      </c>
      <c r="V38" s="25">
        <f t="shared" si="124"/>
        <v>70.427113661418446</v>
      </c>
      <c r="W38" s="25">
        <f t="shared" si="124"/>
        <v>65.467676739124286</v>
      </c>
      <c r="X38" s="25">
        <f t="shared" si="124"/>
        <v>59.353958786782378</v>
      </c>
      <c r="Y38" s="24">
        <f t="shared" ref="Y38" si="125">Y16/$C$16*100</f>
        <v>68.376346213641639</v>
      </c>
    </row>
    <row r="39" spans="2:25">
      <c r="B39" s="7" t="s">
        <v>15</v>
      </c>
      <c r="C39" s="26"/>
      <c r="D39" s="25"/>
      <c r="E39" s="25"/>
      <c r="F39" s="25"/>
      <c r="G39" s="25"/>
      <c r="H39" s="25"/>
      <c r="I39" s="25"/>
      <c r="J39" s="25"/>
      <c r="K39" s="25"/>
      <c r="L39" s="25"/>
      <c r="M39" s="25"/>
      <c r="N39" s="25"/>
      <c r="O39" s="25"/>
      <c r="P39" s="25"/>
      <c r="Q39" s="25"/>
      <c r="R39" s="25"/>
      <c r="S39" s="25"/>
      <c r="T39" s="25"/>
      <c r="U39" s="25"/>
      <c r="V39" s="25"/>
      <c r="W39" s="25"/>
      <c r="X39" s="25"/>
      <c r="Y39" s="24"/>
    </row>
    <row r="40" spans="2:25">
      <c r="B40" s="5" t="s">
        <v>2</v>
      </c>
      <c r="C40" s="26">
        <f>100</f>
        <v>100</v>
      </c>
      <c r="D40" s="25">
        <f t="shared" ref="D40:X40" si="126">D19/$C$19*100</f>
        <v>109.14712595974268</v>
      </c>
      <c r="E40" s="25">
        <f t="shared" si="126"/>
        <v>118.90848723801619</v>
      </c>
      <c r="F40" s="25">
        <f t="shared" si="126"/>
        <v>119.0246939199004</v>
      </c>
      <c r="G40" s="25">
        <f t="shared" si="126"/>
        <v>102.01286573978004</v>
      </c>
      <c r="H40" s="25">
        <f t="shared" si="126"/>
        <v>106.99315210624611</v>
      </c>
      <c r="I40" s="25">
        <f t="shared" si="126"/>
        <v>83.793318115791664</v>
      </c>
      <c r="J40" s="25">
        <f t="shared" si="126"/>
        <v>83.722764058933379</v>
      </c>
      <c r="K40" s="25">
        <f t="shared" si="126"/>
        <v>74.513384519609886</v>
      </c>
      <c r="L40" s="25">
        <f t="shared" si="126"/>
        <v>63.490350695164977</v>
      </c>
      <c r="M40" s="25">
        <f t="shared" si="126"/>
        <v>63.278688524590166</v>
      </c>
      <c r="N40" s="25">
        <f t="shared" si="126"/>
        <v>47.449678356505501</v>
      </c>
      <c r="O40" s="25">
        <f t="shared" si="126"/>
        <v>54.455281178667768</v>
      </c>
      <c r="P40" s="25">
        <f t="shared" si="126"/>
        <v>78.132392612575217</v>
      </c>
      <c r="Q40" s="25">
        <f t="shared" si="126"/>
        <v>150.19713633533928</v>
      </c>
      <c r="R40" s="25">
        <f t="shared" si="126"/>
        <v>98.941689147125956</v>
      </c>
      <c r="S40" s="25">
        <f t="shared" si="126"/>
        <v>103.97177837725668</v>
      </c>
      <c r="T40" s="25">
        <f t="shared" si="126"/>
        <v>104.30794770699315</v>
      </c>
      <c r="U40" s="25">
        <f t="shared" si="126"/>
        <v>87.121809504046482</v>
      </c>
      <c r="V40" s="25">
        <f t="shared" si="126"/>
        <v>91.695372483917822</v>
      </c>
      <c r="W40" s="25">
        <f t="shared" si="126"/>
        <v>90.591409006017841</v>
      </c>
      <c r="X40" s="25">
        <f t="shared" si="126"/>
        <v>84.81842705955593</v>
      </c>
      <c r="Y40" s="24">
        <f t="shared" ref="Y40" si="127">Y19/$C$19*100</f>
        <v>75.003112678979051</v>
      </c>
    </row>
    <row r="41" spans="2:25">
      <c r="B41" s="4" t="s">
        <v>1</v>
      </c>
      <c r="C41" s="26">
        <f>100</f>
        <v>100</v>
      </c>
      <c r="D41" s="25">
        <f t="shared" ref="D41:X41" si="128">D20/$C$20*100</f>
        <v>98.419904976883672</v>
      </c>
      <c r="E41" s="25">
        <f t="shared" si="128"/>
        <v>95.009048298088672</v>
      </c>
      <c r="F41" s="25">
        <f t="shared" si="128"/>
        <v>100.33571424003888</v>
      </c>
      <c r="G41" s="25">
        <f t="shared" si="128"/>
        <v>101.34029913737426</v>
      </c>
      <c r="H41" s="25">
        <f t="shared" si="128"/>
        <v>95.290408804026015</v>
      </c>
      <c r="I41" s="25">
        <f t="shared" si="128"/>
        <v>83.134995491837344</v>
      </c>
      <c r="J41" s="25">
        <f t="shared" si="128"/>
        <v>73.41782674587391</v>
      </c>
      <c r="K41" s="25">
        <f t="shared" si="128"/>
        <v>64.991719048745708</v>
      </c>
      <c r="L41" s="25">
        <f t="shared" si="128"/>
        <v>60.156155080795223</v>
      </c>
      <c r="M41" s="25">
        <f t="shared" si="128"/>
        <v>51.919326269479413</v>
      </c>
      <c r="N41" s="25">
        <f t="shared" si="128"/>
        <v>28.268417922664231</v>
      </c>
      <c r="O41" s="25">
        <f t="shared" si="128"/>
        <v>30.193819021249112</v>
      </c>
      <c r="P41" s="25">
        <f t="shared" si="128"/>
        <v>33.87516545916116</v>
      </c>
      <c r="Q41" s="25">
        <f t="shared" si="128"/>
        <v>73.071241759014725</v>
      </c>
      <c r="R41" s="25">
        <f t="shared" si="128"/>
        <v>46.083014138365428</v>
      </c>
      <c r="S41" s="25">
        <f t="shared" si="128"/>
        <v>48.776401527020205</v>
      </c>
      <c r="T41" s="25">
        <f t="shared" si="128"/>
        <v>48.861449134496716</v>
      </c>
      <c r="U41" s="25">
        <f t="shared" si="128"/>
        <v>50.085687063171825</v>
      </c>
      <c r="V41" s="25">
        <f t="shared" si="128"/>
        <v>55.479815580977473</v>
      </c>
      <c r="W41" s="25">
        <f t="shared" si="128"/>
        <v>51.086115498487686</v>
      </c>
      <c r="X41" s="25">
        <f t="shared" si="128"/>
        <v>50.224640785763164</v>
      </c>
      <c r="Y41" s="24">
        <f t="shared" ref="Y41" si="129">Y20/$C$20*100</f>
        <v>26.635887532532308</v>
      </c>
    </row>
    <row r="42" spans="2:25">
      <c r="B42" s="7" t="s">
        <v>14</v>
      </c>
      <c r="C42" s="26"/>
      <c r="D42" s="25"/>
      <c r="E42" s="25"/>
      <c r="F42" s="25"/>
      <c r="G42" s="25"/>
      <c r="H42" s="25"/>
      <c r="I42" s="25"/>
      <c r="J42" s="25"/>
      <c r="K42" s="25"/>
      <c r="L42" s="25"/>
      <c r="M42" s="25"/>
      <c r="N42" s="25"/>
      <c r="O42" s="25"/>
      <c r="P42" s="25"/>
      <c r="Q42" s="25"/>
      <c r="R42" s="25"/>
      <c r="S42" s="25"/>
      <c r="T42" s="25"/>
      <c r="U42" s="25"/>
      <c r="V42" s="25"/>
      <c r="W42" s="25"/>
      <c r="X42" s="25"/>
      <c r="Y42" s="24"/>
    </row>
    <row r="43" spans="2:25">
      <c r="B43" s="5" t="s">
        <v>2</v>
      </c>
      <c r="C43" s="26">
        <f>100</f>
        <v>100</v>
      </c>
      <c r="D43" s="25">
        <f t="shared" ref="D43:X43" si="130">D23/$C$23*100</f>
        <v>118.3443546411952</v>
      </c>
      <c r="E43" s="25">
        <f t="shared" si="130"/>
        <v>137.12956159686505</v>
      </c>
      <c r="F43" s="25">
        <f t="shared" si="130"/>
        <v>102.84104824883664</v>
      </c>
      <c r="G43" s="25">
        <f t="shared" si="130"/>
        <v>88.88072495713935</v>
      </c>
      <c r="H43" s="25">
        <f t="shared" si="130"/>
        <v>79.255449424442816</v>
      </c>
      <c r="I43" s="25">
        <f t="shared" si="130"/>
        <v>145.84864070536369</v>
      </c>
      <c r="J43" s="25">
        <f t="shared" si="130"/>
        <v>123.78153318638256</v>
      </c>
      <c r="K43" s="25">
        <f t="shared" si="130"/>
        <v>129.80651481753614</v>
      </c>
      <c r="L43" s="25">
        <f t="shared" si="130"/>
        <v>78.055351457261807</v>
      </c>
      <c r="M43" s="25">
        <f t="shared" si="130"/>
        <v>73.818270879255451</v>
      </c>
      <c r="N43" s="25">
        <f t="shared" si="130"/>
        <v>70.756796473181481</v>
      </c>
      <c r="O43" s="25">
        <f t="shared" si="130"/>
        <v>81.21479304433015</v>
      </c>
      <c r="P43" s="25">
        <f t="shared" si="130"/>
        <v>71.271124173401915</v>
      </c>
      <c r="Q43" s="25">
        <f t="shared" si="130"/>
        <v>96.301738917462657</v>
      </c>
      <c r="R43" s="25">
        <f t="shared" si="130"/>
        <v>107.56796473181484</v>
      </c>
      <c r="S43" s="25">
        <f t="shared" si="130"/>
        <v>173.49987754102375</v>
      </c>
      <c r="T43" s="25">
        <f t="shared" si="130"/>
        <v>131.25153073720304</v>
      </c>
      <c r="U43" s="25">
        <f t="shared" si="130"/>
        <v>163.6296840558413</v>
      </c>
      <c r="V43" s="25">
        <f t="shared" si="130"/>
        <v>142.6402155277982</v>
      </c>
      <c r="W43" s="25">
        <f t="shared" si="130"/>
        <v>142.71369091354396</v>
      </c>
      <c r="X43" s="25">
        <f t="shared" si="130"/>
        <v>152.3634582414891</v>
      </c>
      <c r="Y43" s="24">
        <f t="shared" ref="Y43" si="131">Y23/$C$23*100</f>
        <v>137.15405339211364</v>
      </c>
    </row>
    <row r="44" spans="2:25">
      <c r="B44" s="4" t="s">
        <v>1</v>
      </c>
      <c r="C44" s="26">
        <f>100</f>
        <v>100</v>
      </c>
      <c r="D44" s="25">
        <f t="shared" ref="D44:X44" si="132">D24/$C$24*100</f>
        <v>87.548497854077254</v>
      </c>
      <c r="E44" s="25">
        <f t="shared" si="132"/>
        <v>96.121030042918449</v>
      </c>
      <c r="F44" s="25">
        <f t="shared" si="132"/>
        <v>87.175107296137341</v>
      </c>
      <c r="G44" s="25">
        <f t="shared" si="132"/>
        <v>89.838626609442059</v>
      </c>
      <c r="H44" s="25">
        <f t="shared" si="132"/>
        <v>81.875536480686691</v>
      </c>
      <c r="I44" s="25">
        <f t="shared" si="132"/>
        <v>86.533905579399146</v>
      </c>
      <c r="J44" s="25">
        <f t="shared" si="132"/>
        <v>80.564806866952793</v>
      </c>
      <c r="K44" s="25">
        <f t="shared" si="132"/>
        <v>61.212017167381973</v>
      </c>
      <c r="L44" s="25">
        <f t="shared" si="132"/>
        <v>57.912446351931337</v>
      </c>
      <c r="M44" s="25">
        <f t="shared" si="132"/>
        <v>63.206866952789696</v>
      </c>
      <c r="N44" s="25">
        <f t="shared" si="132"/>
        <v>52.511587982832623</v>
      </c>
      <c r="O44" s="25">
        <f t="shared" si="132"/>
        <v>48.057510729613732</v>
      </c>
      <c r="P44" s="25">
        <f t="shared" si="132"/>
        <v>50.945064377682399</v>
      </c>
      <c r="Q44" s="25">
        <f t="shared" si="132"/>
        <v>53.45751072961373</v>
      </c>
      <c r="R44" s="25">
        <f t="shared" si="132"/>
        <v>51.660944206008587</v>
      </c>
      <c r="S44" s="25">
        <f t="shared" si="132"/>
        <v>72.87381974248926</v>
      </c>
      <c r="T44" s="25">
        <f t="shared" si="132"/>
        <v>50.772532188841204</v>
      </c>
      <c r="U44" s="25">
        <f t="shared" si="132"/>
        <v>56.01710729613734</v>
      </c>
      <c r="V44" s="25">
        <f t="shared" si="132"/>
        <v>31.696137339055795</v>
      </c>
      <c r="W44" s="25">
        <f t="shared" si="132"/>
        <v>33.398283261802575</v>
      </c>
      <c r="X44" s="25">
        <f t="shared" si="132"/>
        <v>33.255278969957082</v>
      </c>
      <c r="Y44" s="24">
        <f t="shared" ref="Y44" si="133">Y24/$C$24*100</f>
        <v>30.830042918454936</v>
      </c>
    </row>
    <row r="45" spans="2:25">
      <c r="B45" s="7" t="s">
        <v>13</v>
      </c>
      <c r="C45" s="29"/>
      <c r="D45" s="28"/>
      <c r="E45" s="28"/>
      <c r="F45" s="28"/>
      <c r="G45" s="28"/>
      <c r="H45" s="28"/>
      <c r="I45" s="28"/>
      <c r="J45" s="28"/>
      <c r="K45" s="28"/>
      <c r="L45" s="28"/>
      <c r="M45" s="28"/>
      <c r="N45" s="28"/>
      <c r="O45" s="28"/>
      <c r="P45" s="28"/>
      <c r="Q45" s="28"/>
      <c r="R45" s="28"/>
      <c r="S45" s="28"/>
      <c r="T45" s="28"/>
      <c r="U45" s="28"/>
      <c r="V45" s="28"/>
      <c r="W45" s="28"/>
      <c r="X45" s="28"/>
      <c r="Y45" s="27"/>
    </row>
    <row r="46" spans="2:25">
      <c r="B46" s="5" t="s">
        <v>2</v>
      </c>
      <c r="C46" s="26">
        <f>100</f>
        <v>100</v>
      </c>
      <c r="D46" s="25">
        <f t="shared" ref="D46:X46" si="134">D27/$C$27*100</f>
        <v>98.211334694274328</v>
      </c>
      <c r="E46" s="25">
        <f t="shared" si="134"/>
        <v>128.78390201224846</v>
      </c>
      <c r="F46" s="25">
        <f t="shared" si="134"/>
        <v>99.348692524545541</v>
      </c>
      <c r="G46" s="25">
        <f t="shared" si="134"/>
        <v>90.687275201710889</v>
      </c>
      <c r="H46" s="25">
        <f t="shared" si="134"/>
        <v>85.175464178088859</v>
      </c>
      <c r="I46" s="25">
        <f t="shared" si="134"/>
        <v>31.029454651501897</v>
      </c>
      <c r="J46" s="25">
        <f t="shared" si="134"/>
        <v>31.690483134052688</v>
      </c>
      <c r="K46" s="25">
        <f t="shared" si="134"/>
        <v>44.298629337999415</v>
      </c>
      <c r="L46" s="25">
        <f t="shared" si="134"/>
        <v>43.093224458053854</v>
      </c>
      <c r="M46" s="25">
        <f t="shared" si="134"/>
        <v>32.225138524351124</v>
      </c>
      <c r="N46" s="25">
        <f t="shared" si="134"/>
        <v>21.813939924176147</v>
      </c>
      <c r="O46" s="25">
        <f t="shared" si="134"/>
        <v>19.772528433945759</v>
      </c>
      <c r="P46" s="25">
        <f t="shared" si="134"/>
        <v>18.819869738504909</v>
      </c>
      <c r="Q46" s="25">
        <f t="shared" si="134"/>
        <v>31.44745795664431</v>
      </c>
      <c r="R46" s="25">
        <f t="shared" si="134"/>
        <v>32.322348595314473</v>
      </c>
      <c r="S46" s="25">
        <f t="shared" si="134"/>
        <v>40.215806357538639</v>
      </c>
      <c r="T46" s="25">
        <f t="shared" si="134"/>
        <v>34.859531447457961</v>
      </c>
      <c r="U46" s="25">
        <f t="shared" si="134"/>
        <v>45.756780402449692</v>
      </c>
      <c r="V46" s="25">
        <f t="shared" si="134"/>
        <v>42.655779138718771</v>
      </c>
      <c r="W46" s="25">
        <f t="shared" si="134"/>
        <v>40.147759307864291</v>
      </c>
      <c r="X46" s="25">
        <f t="shared" si="134"/>
        <v>40.857392825896767</v>
      </c>
      <c r="Y46" s="24">
        <f t="shared" ref="Y46" si="135">Y27/$C$27*100</f>
        <v>40.575483620103043</v>
      </c>
    </row>
    <row r="47" spans="2:25" ht="15" thickBot="1">
      <c r="B47" s="23" t="s">
        <v>1</v>
      </c>
      <c r="C47" s="22">
        <f>100</f>
        <v>100</v>
      </c>
      <c r="D47" s="21">
        <f t="shared" ref="D47:X47" si="136">D28/$C$28*100</f>
        <v>82.288975566925018</v>
      </c>
      <c r="E47" s="21">
        <f t="shared" si="136"/>
        <v>122.24248462027703</v>
      </c>
      <c r="F47" s="21">
        <f t="shared" si="136"/>
        <v>122.74397897213359</v>
      </c>
      <c r="G47" s="21">
        <f t="shared" si="136"/>
        <v>111.31092086970715</v>
      </c>
      <c r="H47" s="21">
        <f t="shared" si="136"/>
        <v>107.95355408090326</v>
      </c>
      <c r="I47" s="21">
        <f t="shared" si="136"/>
        <v>54.564386584041117</v>
      </c>
      <c r="J47" s="21">
        <f t="shared" si="136"/>
        <v>58.398482571523445</v>
      </c>
      <c r="K47" s="21">
        <f t="shared" si="136"/>
        <v>55.959114983480518</v>
      </c>
      <c r="L47" s="21">
        <f t="shared" si="136"/>
        <v>53.219188490957904</v>
      </c>
      <c r="M47" s="21">
        <f t="shared" si="136"/>
        <v>29.203744040885017</v>
      </c>
      <c r="N47" s="21">
        <f t="shared" si="136"/>
        <v>26.096843005814179</v>
      </c>
      <c r="O47" s="21">
        <f t="shared" si="136"/>
        <v>22.456365488633356</v>
      </c>
      <c r="P47" s="21">
        <f t="shared" si="136"/>
        <v>22.931968998530976</v>
      </c>
      <c r="Q47" s="21">
        <f t="shared" si="136"/>
        <v>25.033629952327079</v>
      </c>
      <c r="R47" s="21">
        <f t="shared" si="136"/>
        <v>27.841097771699058</v>
      </c>
      <c r="S47" s="21">
        <f t="shared" si="136"/>
        <v>29.41424784289887</v>
      </c>
      <c r="T47" s="21">
        <f t="shared" si="136"/>
        <v>23.892181528572795</v>
      </c>
      <c r="U47" s="21">
        <f t="shared" si="136"/>
        <v>22.095627261930893</v>
      </c>
      <c r="V47" s="21">
        <f t="shared" si="136"/>
        <v>17.780817137486</v>
      </c>
      <c r="W47" s="21">
        <f t="shared" si="136"/>
        <v>15.287416487963574</v>
      </c>
      <c r="X47" s="21">
        <f t="shared" si="136"/>
        <v>18.783242996808671</v>
      </c>
      <c r="Y47" s="20">
        <f t="shared" ref="Y47" si="137">Y28/$C$28*100</f>
        <v>14.120640066640778</v>
      </c>
    </row>
    <row r="48" spans="2:25" ht="15" thickTop="1"/>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B5"/>
  <sheetViews>
    <sheetView topLeftCell="A7" workbookViewId="0">
      <selection activeCell="B1" sqref="B1"/>
    </sheetView>
  </sheetViews>
  <sheetFormatPr baseColWidth="10" defaultRowHeight="14.5"/>
  <sheetData>
    <row r="1" spans="1:2">
      <c r="A1" t="s">
        <v>10</v>
      </c>
      <c r="B1" s="52" t="s">
        <v>567</v>
      </c>
    </row>
    <row r="2" spans="1:2">
      <c r="A2" t="s">
        <v>22</v>
      </c>
      <c r="B2" s="52" t="s">
        <v>21</v>
      </c>
    </row>
    <row r="3" spans="1:2">
      <c r="A3" t="s">
        <v>9</v>
      </c>
      <c r="B3" t="s">
        <v>20</v>
      </c>
    </row>
    <row r="4" spans="1:2">
      <c r="A4" t="s">
        <v>8</v>
      </c>
    </row>
    <row r="5" spans="1:2">
      <c r="A5" t="s">
        <v>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N24"/>
  <sheetViews>
    <sheetView topLeftCell="A21" zoomScale="70" zoomScaleNormal="70" workbookViewId="0">
      <selection activeCell="C54" sqref="C54"/>
    </sheetView>
  </sheetViews>
  <sheetFormatPr baseColWidth="10" defaultRowHeight="14.5"/>
  <cols>
    <col min="2" max="2" width="32.36328125" customWidth="1"/>
    <col min="3" max="7" width="14.08984375" bestFit="1" customWidth="1"/>
    <col min="8" max="8" width="13.36328125" bestFit="1" customWidth="1"/>
    <col min="9" max="14" width="14.08984375" bestFit="1" customWidth="1"/>
  </cols>
  <sheetData>
    <row r="1" spans="1:14">
      <c r="A1" t="s">
        <v>10</v>
      </c>
      <c r="B1" s="52" t="s">
        <v>551</v>
      </c>
    </row>
    <row r="2" spans="1:14">
      <c r="A2" t="s">
        <v>9</v>
      </c>
      <c r="B2" t="s">
        <v>535</v>
      </c>
    </row>
    <row r="3" spans="1:14">
      <c r="A3" t="s">
        <v>8</v>
      </c>
    </row>
    <row r="4" spans="1:14">
      <c r="A4" t="s">
        <v>6</v>
      </c>
      <c r="B4" t="s">
        <v>550</v>
      </c>
    </row>
    <row r="5" spans="1:14" ht="15" thickBot="1">
      <c r="B5" s="306"/>
    </row>
    <row r="6" spans="1:14" ht="15" thickTop="1">
      <c r="B6" s="302" t="s">
        <v>35</v>
      </c>
      <c r="C6" s="337">
        <v>2011</v>
      </c>
      <c r="D6" s="337">
        <v>2012</v>
      </c>
      <c r="E6" s="337">
        <v>2013</v>
      </c>
      <c r="F6" s="337">
        <v>2014</v>
      </c>
      <c r="G6" s="337">
        <v>2015</v>
      </c>
      <c r="H6" s="337">
        <v>2016</v>
      </c>
      <c r="I6" s="337">
        <v>2017</v>
      </c>
      <c r="J6" s="337">
        <v>2018</v>
      </c>
      <c r="K6" s="337">
        <v>2019</v>
      </c>
      <c r="L6" s="337">
        <v>2020</v>
      </c>
      <c r="M6" s="337">
        <v>2021</v>
      </c>
      <c r="N6" s="338">
        <v>2022</v>
      </c>
    </row>
    <row r="7" spans="1:14" ht="15" thickBot="1">
      <c r="B7" s="64" t="s">
        <v>34</v>
      </c>
      <c r="C7" s="339"/>
      <c r="D7" s="340"/>
      <c r="E7" s="340"/>
      <c r="F7" s="340"/>
      <c r="G7" s="340"/>
      <c r="H7" s="340"/>
      <c r="I7" s="340"/>
      <c r="J7" s="340"/>
      <c r="K7" s="340"/>
      <c r="L7" s="340"/>
      <c r="M7" s="340"/>
      <c r="N7" s="341"/>
    </row>
    <row r="8" spans="1:14" ht="15" thickTop="1">
      <c r="B8" s="64" t="s">
        <v>33</v>
      </c>
      <c r="C8" s="329"/>
      <c r="D8" s="329"/>
      <c r="E8" s="329"/>
      <c r="F8" s="329"/>
      <c r="G8" s="329"/>
      <c r="H8" s="329"/>
      <c r="I8" s="329"/>
      <c r="J8" s="329"/>
      <c r="K8" s="329"/>
      <c r="L8" s="329"/>
      <c r="M8" s="329"/>
      <c r="N8" s="329"/>
    </row>
    <row r="9" spans="1:14">
      <c r="B9" s="303" t="s">
        <v>537</v>
      </c>
      <c r="C9" s="331">
        <v>16438</v>
      </c>
      <c r="D9" s="331">
        <v>17199</v>
      </c>
      <c r="E9" s="331">
        <v>15092</v>
      </c>
      <c r="F9" s="331">
        <v>17740</v>
      </c>
      <c r="G9" s="331">
        <v>15692</v>
      </c>
      <c r="H9" s="331">
        <v>10693</v>
      </c>
      <c r="I9" s="331">
        <v>13451</v>
      </c>
      <c r="J9" s="331">
        <v>13797</v>
      </c>
      <c r="K9" s="331">
        <v>11852</v>
      </c>
      <c r="L9" s="331">
        <v>14049</v>
      </c>
      <c r="M9" s="331">
        <v>18912</v>
      </c>
      <c r="N9" s="331">
        <v>20125</v>
      </c>
    </row>
    <row r="10" spans="1:14">
      <c r="B10" s="343" t="s">
        <v>27</v>
      </c>
      <c r="C10" s="336">
        <v>14276</v>
      </c>
      <c r="D10" s="336">
        <v>14985</v>
      </c>
      <c r="E10" s="336">
        <v>13264</v>
      </c>
      <c r="F10" s="336">
        <v>15381</v>
      </c>
      <c r="G10" s="336">
        <v>13817</v>
      </c>
      <c r="H10" s="336">
        <v>9294</v>
      </c>
      <c r="I10" s="336">
        <v>11383</v>
      </c>
      <c r="J10" s="336">
        <v>12041</v>
      </c>
      <c r="K10" s="336">
        <v>10214</v>
      </c>
      <c r="L10" s="336">
        <v>12524</v>
      </c>
      <c r="M10" s="336">
        <v>16958</v>
      </c>
      <c r="N10" s="336">
        <v>18454</v>
      </c>
    </row>
    <row r="11" spans="1:14">
      <c r="B11" s="343" t="s">
        <v>26</v>
      </c>
      <c r="C11" s="330">
        <v>2162</v>
      </c>
      <c r="D11" s="330">
        <v>2214</v>
      </c>
      <c r="E11" s="330">
        <v>1828</v>
      </c>
      <c r="F11" s="330">
        <v>2359</v>
      </c>
      <c r="G11" s="330">
        <v>1875</v>
      </c>
      <c r="H11" s="330">
        <v>1399</v>
      </c>
      <c r="I11" s="330">
        <v>2068</v>
      </c>
      <c r="J11" s="330">
        <v>1756</v>
      </c>
      <c r="K11" s="330">
        <v>1638</v>
      </c>
      <c r="L11" s="330">
        <v>1525</v>
      </c>
      <c r="M11" s="330">
        <v>1954</v>
      </c>
      <c r="N11" s="330">
        <v>1671</v>
      </c>
    </row>
    <row r="12" spans="1:14">
      <c r="B12" s="303" t="s">
        <v>25</v>
      </c>
      <c r="C12" s="331">
        <v>22671</v>
      </c>
      <c r="D12" s="331">
        <v>18616</v>
      </c>
      <c r="E12" s="331">
        <v>22106</v>
      </c>
      <c r="F12" s="331">
        <v>17128</v>
      </c>
      <c r="G12" s="331">
        <v>18007</v>
      </c>
      <c r="H12" s="331">
        <v>19750</v>
      </c>
      <c r="I12" s="331"/>
      <c r="J12" s="331">
        <v>19088</v>
      </c>
      <c r="K12" s="331">
        <v>24889</v>
      </c>
      <c r="L12" s="331">
        <v>21956</v>
      </c>
      <c r="M12" s="331">
        <v>20151</v>
      </c>
      <c r="N12" s="331">
        <v>19869</v>
      </c>
    </row>
    <row r="13" spans="1:14">
      <c r="B13" s="64" t="s">
        <v>31</v>
      </c>
      <c r="C13" s="331"/>
      <c r="D13" s="331"/>
      <c r="E13" s="331"/>
      <c r="F13" s="331"/>
      <c r="G13" s="331"/>
      <c r="H13" s="331"/>
      <c r="I13" s="331"/>
      <c r="J13" s="331"/>
      <c r="K13" s="331"/>
      <c r="L13" s="331"/>
      <c r="M13" s="331"/>
      <c r="N13" s="331"/>
    </row>
    <row r="14" spans="1:14">
      <c r="B14" s="303" t="s">
        <v>30</v>
      </c>
      <c r="C14" s="331">
        <v>88060.599999999991</v>
      </c>
      <c r="D14" s="331">
        <v>90633.3</v>
      </c>
      <c r="E14" s="331">
        <v>77481.199999999983</v>
      </c>
      <c r="F14" s="331">
        <v>87658.599999999991</v>
      </c>
      <c r="G14" s="331">
        <v>80189</v>
      </c>
      <c r="H14" s="331">
        <v>68528</v>
      </c>
      <c r="I14" s="331">
        <v>55122</v>
      </c>
      <c r="J14" s="331">
        <v>61731</v>
      </c>
      <c r="K14" s="331">
        <v>54752</v>
      </c>
      <c r="L14" s="331">
        <v>40551</v>
      </c>
      <c r="M14" s="331"/>
      <c r="N14" s="331">
        <v>67928</v>
      </c>
    </row>
    <row r="15" spans="1:14">
      <c r="B15" s="343" t="s">
        <v>27</v>
      </c>
      <c r="C15" s="330">
        <v>80367.599999999991</v>
      </c>
      <c r="D15" s="330">
        <v>83663</v>
      </c>
      <c r="E15" s="330">
        <v>71054.299999999988</v>
      </c>
      <c r="F15" s="330">
        <v>80293</v>
      </c>
      <c r="G15" s="330">
        <v>72343</v>
      </c>
      <c r="H15" s="330">
        <v>62280</v>
      </c>
      <c r="I15" s="330">
        <v>49044</v>
      </c>
      <c r="J15" s="330">
        <v>55211</v>
      </c>
      <c r="K15" s="330">
        <v>49682</v>
      </c>
      <c r="L15" s="330">
        <v>32037</v>
      </c>
      <c r="M15" s="330"/>
      <c r="N15" s="330">
        <v>64554</v>
      </c>
    </row>
    <row r="16" spans="1:14">
      <c r="B16" s="64" t="s">
        <v>29</v>
      </c>
      <c r="C16" s="330"/>
      <c r="D16" s="330"/>
      <c r="E16" s="330"/>
      <c r="F16" s="330"/>
      <c r="G16" s="330"/>
      <c r="H16" s="330"/>
      <c r="I16" s="330"/>
      <c r="J16" s="330"/>
      <c r="K16" s="330"/>
      <c r="L16" s="330"/>
      <c r="M16" s="330"/>
      <c r="N16" s="330"/>
    </row>
    <row r="17" spans="2:14">
      <c r="B17" s="303" t="s">
        <v>28</v>
      </c>
      <c r="C17" s="331">
        <v>13634</v>
      </c>
      <c r="D17" s="331">
        <v>13518</v>
      </c>
      <c r="E17" s="331">
        <v>12407</v>
      </c>
      <c r="F17" s="331">
        <v>13494</v>
      </c>
      <c r="G17" s="331">
        <v>13850</v>
      </c>
      <c r="H17" s="331">
        <v>9401</v>
      </c>
      <c r="I17" s="331">
        <v>11446</v>
      </c>
      <c r="J17" s="331">
        <v>11369</v>
      </c>
      <c r="K17" s="331">
        <v>9420</v>
      </c>
      <c r="L17" s="331">
        <v>8406</v>
      </c>
      <c r="M17" s="331">
        <v>14311</v>
      </c>
      <c r="N17" s="331">
        <v>15141</v>
      </c>
    </row>
    <row r="18" spans="2:14">
      <c r="B18" s="343" t="s">
        <v>27</v>
      </c>
      <c r="C18" s="330">
        <v>12279</v>
      </c>
      <c r="D18" s="330">
        <v>12214</v>
      </c>
      <c r="E18" s="330">
        <v>11189</v>
      </c>
      <c r="F18" s="330">
        <v>12065</v>
      </c>
      <c r="G18" s="330">
        <v>11828</v>
      </c>
      <c r="H18" s="330">
        <v>8343</v>
      </c>
      <c r="I18" s="330">
        <v>9705</v>
      </c>
      <c r="J18" s="330">
        <v>10204</v>
      </c>
      <c r="K18" s="330">
        <v>8297</v>
      </c>
      <c r="L18" s="330">
        <v>7835</v>
      </c>
      <c r="M18" s="330">
        <v>13058</v>
      </c>
      <c r="N18" s="330">
        <v>14357</v>
      </c>
    </row>
    <row r="19" spans="2:14">
      <c r="B19" s="343" t="s">
        <v>26</v>
      </c>
      <c r="C19" s="330">
        <v>1356</v>
      </c>
      <c r="D19" s="330">
        <v>1307</v>
      </c>
      <c r="E19" s="330">
        <v>1221</v>
      </c>
      <c r="F19" s="330">
        <v>1432</v>
      </c>
      <c r="G19" s="330">
        <v>2023</v>
      </c>
      <c r="H19" s="330">
        <v>1059</v>
      </c>
      <c r="I19" s="330">
        <v>1742</v>
      </c>
      <c r="J19" s="330">
        <v>1166</v>
      </c>
      <c r="K19" s="330">
        <v>1123</v>
      </c>
      <c r="L19" s="330">
        <v>572</v>
      </c>
      <c r="M19" s="330">
        <v>1253</v>
      </c>
      <c r="N19" s="330">
        <v>784</v>
      </c>
    </row>
    <row r="20" spans="2:14">
      <c r="B20" s="303" t="s">
        <v>25</v>
      </c>
      <c r="C20" s="331">
        <v>22862</v>
      </c>
      <c r="D20" s="331">
        <v>18643</v>
      </c>
      <c r="E20" s="331">
        <v>22235</v>
      </c>
      <c r="F20" s="331">
        <v>17189</v>
      </c>
      <c r="G20" s="331">
        <v>18156</v>
      </c>
      <c r="H20" s="331">
        <v>19752</v>
      </c>
      <c r="I20" s="331" t="s">
        <v>464</v>
      </c>
      <c r="J20" s="331">
        <v>19137</v>
      </c>
      <c r="K20" s="331">
        <v>24912</v>
      </c>
      <c r="L20" s="331">
        <v>22058</v>
      </c>
      <c r="M20" s="331">
        <v>20430</v>
      </c>
      <c r="N20" s="331">
        <v>19916</v>
      </c>
    </row>
    <row r="21" spans="2:14">
      <c r="B21" s="64" t="s">
        <v>24</v>
      </c>
      <c r="C21" s="332">
        <v>36496</v>
      </c>
      <c r="D21" s="332">
        <v>32161</v>
      </c>
      <c r="E21" s="332">
        <v>34642</v>
      </c>
      <c r="F21" s="332">
        <v>30683</v>
      </c>
      <c r="G21" s="332">
        <v>32006</v>
      </c>
      <c r="H21" s="332">
        <v>29153</v>
      </c>
      <c r="I21" s="332"/>
      <c r="J21" s="332">
        <v>30506</v>
      </c>
      <c r="K21" s="332">
        <v>34332</v>
      </c>
      <c r="L21" s="332">
        <v>30464</v>
      </c>
      <c r="M21" s="332">
        <v>34741</v>
      </c>
      <c r="N21" s="332">
        <v>35057</v>
      </c>
    </row>
    <row r="22" spans="2:14">
      <c r="B22" s="342" t="s">
        <v>23</v>
      </c>
      <c r="C22" s="334">
        <f>C20/(C17+C20)</f>
        <v>0.62642481367821135</v>
      </c>
      <c r="D22" s="334">
        <f t="shared" ref="D22:N22" si="0">D20/(D17+D20)</f>
        <v>0.57967724884176486</v>
      </c>
      <c r="E22" s="334">
        <f t="shared" si="0"/>
        <v>0.64185093239420354</v>
      </c>
      <c r="F22" s="334">
        <f t="shared" si="0"/>
        <v>0.56021249551869112</v>
      </c>
      <c r="G22" s="334">
        <f t="shared" si="0"/>
        <v>0.56726863713053799</v>
      </c>
      <c r="H22" s="334">
        <f t="shared" si="0"/>
        <v>0.67752889925565118</v>
      </c>
      <c r="I22" s="334"/>
      <c r="J22" s="334">
        <f t="shared" si="0"/>
        <v>0.62731921589195572</v>
      </c>
      <c r="K22" s="334">
        <f t="shared" si="0"/>
        <v>0.72562041244320163</v>
      </c>
      <c r="L22" s="334">
        <f t="shared" si="0"/>
        <v>0.72406775210084029</v>
      </c>
      <c r="M22" s="334">
        <f t="shared" si="0"/>
        <v>0.58806597392130333</v>
      </c>
      <c r="N22" s="334">
        <f t="shared" si="0"/>
        <v>0.56810337450437853</v>
      </c>
    </row>
    <row r="23" spans="2:14" ht="15" thickBot="1">
      <c r="B23" s="344" t="s">
        <v>536</v>
      </c>
      <c r="C23" s="333">
        <v>6.4588968754584117</v>
      </c>
      <c r="D23" s="333">
        <v>6.7046382600976475</v>
      </c>
      <c r="E23" s="333">
        <v>6.2449584911743354</v>
      </c>
      <c r="F23" s="333">
        <v>6.4961167926485839</v>
      </c>
      <c r="G23" s="333">
        <v>5.7898194945848376</v>
      </c>
      <c r="H23" s="333">
        <v>7.2894372939049035</v>
      </c>
      <c r="I23" s="333">
        <v>4.8158308579416387</v>
      </c>
      <c r="J23" s="333">
        <v>5.429765150848799</v>
      </c>
      <c r="K23" s="333">
        <v>5.8123142250530782</v>
      </c>
      <c r="L23" s="333">
        <v>4.8240542469664529</v>
      </c>
      <c r="M23" s="333" t="s">
        <v>464</v>
      </c>
      <c r="N23" s="333">
        <v>4.4863615349052246</v>
      </c>
    </row>
    <row r="24" spans="2:14" ht="15" thickTop="1">
      <c r="N24" s="53"/>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N21"/>
  <sheetViews>
    <sheetView zoomScale="85" zoomScaleNormal="85" workbookViewId="0">
      <selection activeCell="M7" sqref="M7"/>
    </sheetView>
  </sheetViews>
  <sheetFormatPr baseColWidth="10" defaultRowHeight="14.5"/>
  <sheetData>
    <row r="1" spans="1:14">
      <c r="A1" t="s">
        <v>471</v>
      </c>
      <c r="B1" s="52" t="s">
        <v>37</v>
      </c>
    </row>
    <row r="2" spans="1:14">
      <c r="A2" t="s">
        <v>9</v>
      </c>
      <c r="B2" t="s">
        <v>535</v>
      </c>
    </row>
    <row r="3" spans="1:14">
      <c r="A3" t="s">
        <v>8</v>
      </c>
      <c r="B3" t="s">
        <v>36</v>
      </c>
    </row>
    <row r="4" spans="1:14">
      <c r="A4" t="s">
        <v>468</v>
      </c>
      <c r="B4" t="s">
        <v>552</v>
      </c>
    </row>
    <row r="5" spans="1:14" ht="15" thickBot="1"/>
    <row r="6" spans="1:14" ht="15.5" thickTop="1" thickBot="1">
      <c r="B6" s="302" t="s">
        <v>35</v>
      </c>
      <c r="C6" s="70">
        <v>2011</v>
      </c>
      <c r="D6" s="69">
        <v>2012</v>
      </c>
      <c r="E6" s="69">
        <v>2013</v>
      </c>
      <c r="F6" s="69">
        <v>2014</v>
      </c>
      <c r="G6" s="69">
        <v>2015</v>
      </c>
      <c r="H6" s="69">
        <v>2016</v>
      </c>
      <c r="I6" s="69">
        <v>2017</v>
      </c>
      <c r="J6" s="69">
        <v>2018</v>
      </c>
      <c r="K6" s="69">
        <v>2019</v>
      </c>
      <c r="L6" s="69">
        <v>2020</v>
      </c>
      <c r="M6" s="69">
        <v>2021</v>
      </c>
      <c r="N6" s="68">
        <v>2022</v>
      </c>
    </row>
    <row r="7" spans="1:14" ht="15" thickTop="1">
      <c r="B7" s="64" t="s">
        <v>33</v>
      </c>
      <c r="C7" s="67"/>
      <c r="D7" s="66"/>
      <c r="E7" s="66"/>
      <c r="F7" s="66"/>
      <c r="G7" s="66"/>
      <c r="H7" s="66"/>
      <c r="I7" s="66"/>
      <c r="J7" s="66"/>
      <c r="K7" s="66"/>
      <c r="L7" s="66"/>
      <c r="M7" s="66"/>
      <c r="N7" s="65"/>
    </row>
    <row r="8" spans="1:14">
      <c r="B8" s="303" t="s">
        <v>32</v>
      </c>
      <c r="C8" s="61">
        <f>100</f>
        <v>100</v>
      </c>
      <c r="D8" s="54">
        <f>'Graphique 33'!D9/'Graphique 33'!$C9*100</f>
        <v>104.62951697286775</v>
      </c>
      <c r="E8" s="54">
        <f>'Graphique 33'!E9/'Graphique 33'!$C9*100</f>
        <v>91.811655919211589</v>
      </c>
      <c r="F8" s="54">
        <f>'Graphique 33'!F9/'Graphique 33'!$C9*100</f>
        <v>107.92067161455165</v>
      </c>
      <c r="G8" s="54">
        <f>'Graphique 33'!G9/'Graphique 33'!$C9*100</f>
        <v>95.461735004258429</v>
      </c>
      <c r="H8" s="54">
        <f>'Graphique 33'!H9/'Graphique 33'!$C9*100</f>
        <v>65.050492760676477</v>
      </c>
      <c r="I8" s="54">
        <f>'Graphique 33'!I9/'Graphique 33'!$C9*100</f>
        <v>81.828689621608461</v>
      </c>
      <c r="J8" s="54">
        <f>'Graphique 33'!J9/'Graphique 33'!$C9*100</f>
        <v>83.933568560652148</v>
      </c>
      <c r="K8" s="54">
        <f>'Graphique 33'!K9/'Graphique 33'!$C9*100</f>
        <v>72.101228859958638</v>
      </c>
      <c r="L8" s="54">
        <f>'Graphique 33'!L9/'Graphique 33'!$C9*100</f>
        <v>85.466601776371817</v>
      </c>
      <c r="M8" s="54">
        <f>'Graphique 33'!M9/'Graphique 33'!$C9*100</f>
        <v>115.05049276067648</v>
      </c>
      <c r="N8" s="60">
        <f>'Graphique 33'!N9/'Graphique 33'!$C9*100</f>
        <v>122.42973597761284</v>
      </c>
    </row>
    <row r="9" spans="1:14">
      <c r="B9" s="304" t="s">
        <v>27</v>
      </c>
      <c r="C9" s="63">
        <f>100</f>
        <v>100</v>
      </c>
      <c r="D9" s="55">
        <f>'Graphique 33'!D10/'Graphique 33'!$C10*100</f>
        <v>104.96637713645278</v>
      </c>
      <c r="E9" s="55">
        <f>'Graphique 33'!E10/'Graphique 33'!$C10*100</f>
        <v>92.911179602129451</v>
      </c>
      <c r="F9" s="55">
        <f>'Graphique 33'!F10/'Graphique 33'!$C10*100</f>
        <v>107.74026337909778</v>
      </c>
      <c r="G9" s="55">
        <f>'Graphique 33'!G10/'Graphique 33'!$C10*100</f>
        <v>96.784813673297847</v>
      </c>
      <c r="H9" s="55">
        <f>'Graphique 33'!H10/'Graphique 33'!$C10*100</f>
        <v>65.102269543289438</v>
      </c>
      <c r="I9" s="55">
        <f>'Graphique 33'!I10/'Graphique 33'!$C10*100</f>
        <v>79.735219949565703</v>
      </c>
      <c r="J9" s="55">
        <f>'Graphique 33'!J10/'Graphique 33'!$C10*100</f>
        <v>84.344354160829354</v>
      </c>
      <c r="K9" s="55">
        <f>'Graphique 33'!K10/'Graphique 33'!$C10*100</f>
        <v>71.546651723171763</v>
      </c>
      <c r="L9" s="55">
        <f>'Graphique 33'!L10/'Graphique 33'!$C10*100</f>
        <v>87.727654805267591</v>
      </c>
      <c r="M9" s="55">
        <f>'Graphique 33'!M10/'Graphique 33'!$C10*100</f>
        <v>118.78677500700476</v>
      </c>
      <c r="N9" s="62">
        <f>'Graphique 33'!N10/'Graphique 33'!$C10*100</f>
        <v>129.26590081255253</v>
      </c>
    </row>
    <row r="10" spans="1:14">
      <c r="B10" s="304" t="s">
        <v>26</v>
      </c>
      <c r="C10" s="63">
        <f>100</f>
        <v>100</v>
      </c>
      <c r="D10" s="55">
        <f>'Graphique 33'!D11/'Graphique 33'!$C11*100</f>
        <v>102.40518038852915</v>
      </c>
      <c r="E10" s="55">
        <f>'Graphique 33'!E11/'Graphique 33'!$C11*100</f>
        <v>84.551341350601291</v>
      </c>
      <c r="F10" s="55">
        <f>'Graphique 33'!F11/'Graphique 33'!$C11*100</f>
        <v>109.11193339500463</v>
      </c>
      <c r="G10" s="55">
        <f>'Graphique 33'!G11/'Graphique 33'!$C11*100</f>
        <v>86.725254394079556</v>
      </c>
      <c r="H10" s="55">
        <f>'Graphique 33'!H11/'Graphique 33'!$C11*100</f>
        <v>64.708603145235884</v>
      </c>
      <c r="I10" s="55">
        <f>'Graphique 33'!I11/'Graphique 33'!$C11*100</f>
        <v>95.652173913043484</v>
      </c>
      <c r="J10" s="55">
        <f>'Graphique 33'!J11/'Graphique 33'!$C11*100</f>
        <v>81.221091581868649</v>
      </c>
      <c r="K10" s="55">
        <f>'Graphique 33'!K11/'Graphique 33'!$C11*100</f>
        <v>75.763182238667909</v>
      </c>
      <c r="L10" s="55">
        <f>'Graphique 33'!L11/'Graphique 33'!$C11*100</f>
        <v>70.536540240518036</v>
      </c>
      <c r="M10" s="55">
        <f>'Graphique 33'!M11/'Graphique 33'!$C11*100</f>
        <v>90.379278445883443</v>
      </c>
      <c r="N10" s="62">
        <f>'Graphique 33'!N11/'Graphique 33'!$C11*100</f>
        <v>77.289546716003699</v>
      </c>
    </row>
    <row r="11" spans="1:14">
      <c r="B11" s="303" t="s">
        <v>25</v>
      </c>
      <c r="C11" s="61">
        <f>100</f>
        <v>100</v>
      </c>
      <c r="D11" s="54">
        <f>'Graphique 33'!D12/'Graphique 33'!$C12*100</f>
        <v>82.113713554761588</v>
      </c>
      <c r="E11" s="54">
        <f>'Graphique 33'!E12/'Graphique 33'!$C12*100</f>
        <v>97.507829385558637</v>
      </c>
      <c r="F11" s="54">
        <f>'Graphique 33'!F12/'Graphique 33'!$C12*100</f>
        <v>75.550262449825766</v>
      </c>
      <c r="G11" s="54">
        <f>'Graphique 33'!G12/'Graphique 33'!$C12*100</f>
        <v>79.427462396894711</v>
      </c>
      <c r="H11" s="54">
        <f>'Graphique 33'!H12/'Graphique 33'!$C12*100</f>
        <v>87.115698469410262</v>
      </c>
      <c r="I11" s="54"/>
      <c r="J11" s="54">
        <f>'Graphique 33'!J12/'Graphique 33'!$C12*100</f>
        <v>84.195668475144458</v>
      </c>
      <c r="K11" s="54">
        <f>'Graphique 33'!K12/'Graphique 33'!$C12*100</f>
        <v>109.78342375722288</v>
      </c>
      <c r="L11" s="54">
        <f>'Graphique 33'!L12/'Graphique 33'!$C12*100</f>
        <v>96.84619116933527</v>
      </c>
      <c r="M11" s="54">
        <f>'Graphique 33'!M12/'Graphique 33'!$C12*100</f>
        <v>88.884477967447395</v>
      </c>
      <c r="N11" s="60">
        <f>'Graphique 33'!N12/'Graphique 33'!$C12*100</f>
        <v>87.640598120947459</v>
      </c>
    </row>
    <row r="12" spans="1:14">
      <c r="B12" s="64" t="s">
        <v>1</v>
      </c>
      <c r="C12" s="61"/>
      <c r="D12" s="54"/>
      <c r="E12" s="54"/>
      <c r="F12" s="54"/>
      <c r="G12" s="54"/>
      <c r="H12" s="54"/>
      <c r="I12" s="54"/>
      <c r="J12" s="54"/>
      <c r="K12" s="54"/>
      <c r="L12" s="54"/>
      <c r="M12" s="54"/>
      <c r="N12" s="60"/>
    </row>
    <row r="13" spans="1:14">
      <c r="B13" s="303" t="s">
        <v>30</v>
      </c>
      <c r="C13" s="61">
        <v>100</v>
      </c>
      <c r="D13" s="54">
        <f>'Graphique 33'!D14/'Graphique 33'!$C14*100</f>
        <v>102.92151086865182</v>
      </c>
      <c r="E13" s="54">
        <f>'Graphique 33'!E14/'Graphique 33'!$C14*100</f>
        <v>87.986227665948206</v>
      </c>
      <c r="F13" s="54">
        <f>'Graphique 33'!F14/'Graphique 33'!$C14*100</f>
        <v>99.543496183310126</v>
      </c>
      <c r="G13" s="54">
        <f>'Graphique 33'!G14/'Graphique 33'!$C14*100</f>
        <v>91.061155613293593</v>
      </c>
      <c r="H13" s="54">
        <f>'Graphique 33'!H14/'Graphique 33'!$C14*100</f>
        <v>77.819138184386674</v>
      </c>
      <c r="I13" s="54">
        <f>'Graphique 33'!I14/'Graphique 33'!$C14*100</f>
        <v>62.59553080492298</v>
      </c>
      <c r="J13" s="54">
        <f>'Graphique 33'!J14/'Graphique 33'!$C14*100</f>
        <v>70.100589821100485</v>
      </c>
      <c r="K13" s="54">
        <f>'Graphique 33'!K14/'Graphique 33'!$C14*100</f>
        <v>62.175365600506929</v>
      </c>
      <c r="L13" s="54">
        <f>'Graphique 33'!L14/'Graphique 33'!$C14*100</f>
        <v>46.048970822365511</v>
      </c>
      <c r="M13" s="374">
        <f>AVERAGE(L13,N13)</f>
        <v>61.59338001330903</v>
      </c>
      <c r="N13" s="60">
        <f>'Graphique 33'!N14/'Graphique 33'!$C14*100</f>
        <v>77.137789204252542</v>
      </c>
    </row>
    <row r="14" spans="1:14">
      <c r="B14" s="304" t="s">
        <v>27</v>
      </c>
      <c r="C14" s="63">
        <f>100</f>
        <v>100</v>
      </c>
      <c r="D14" s="55">
        <f>'Graphique 33'!D15/'Graphique 33'!$C15*100</f>
        <v>104.10040862238017</v>
      </c>
      <c r="E14" s="55">
        <f>'Graphique 33'!E15/'Graphique 33'!$C15*100</f>
        <v>88.411623589605753</v>
      </c>
      <c r="F14" s="55">
        <f>'Graphique 33'!F15/'Graphique 33'!$C15*100</f>
        <v>99.90717652387282</v>
      </c>
      <c r="G14" s="55">
        <f>'Graphique 33'!G15/'Graphique 33'!$C15*100</f>
        <v>90.015130475465241</v>
      </c>
      <c r="H14" s="55">
        <f>'Graphique 33'!H15/'Graphique 33'!$C15*100</f>
        <v>77.493915458468337</v>
      </c>
      <c r="I14" s="55">
        <f>'Graphique 33'!I15/'Graphique 33'!$C15*100</f>
        <v>61.0245919997611</v>
      </c>
      <c r="J14" s="55">
        <f>'Graphique 33'!J15/'Graphique 33'!$C15*100</f>
        <v>68.698082311777384</v>
      </c>
      <c r="K14" s="55">
        <f>'Graphique 33'!K15/'Graphique 33'!$C15*100</f>
        <v>61.818444248677331</v>
      </c>
      <c r="L14" s="55">
        <f>'Graphique 33'!L15/'Graphique 33'!$C15*100</f>
        <v>39.863079151299779</v>
      </c>
      <c r="M14" s="374">
        <f>AVERAGE(L14,N14)</f>
        <v>60.093246532184622</v>
      </c>
      <c r="N14" s="62">
        <f>'Graphique 33'!N15/'Graphique 33'!$C15*100</f>
        <v>80.323413913069459</v>
      </c>
    </row>
    <row r="15" spans="1:14">
      <c r="B15" s="64" t="s">
        <v>29</v>
      </c>
      <c r="C15" s="63"/>
      <c r="D15" s="55"/>
      <c r="E15" s="55"/>
      <c r="F15" s="55"/>
      <c r="G15" s="55"/>
      <c r="H15" s="55"/>
      <c r="I15" s="55"/>
      <c r="J15" s="55"/>
      <c r="K15" s="55"/>
      <c r="L15" s="55"/>
      <c r="M15" s="55"/>
      <c r="N15" s="62"/>
    </row>
    <row r="16" spans="1:14">
      <c r="B16" s="303" t="s">
        <v>28</v>
      </c>
      <c r="C16" s="61">
        <v>100</v>
      </c>
      <c r="D16" s="54">
        <f>'Graphique 33'!D17/'Graphique 33'!$C17*100</f>
        <v>99.149185858882205</v>
      </c>
      <c r="E16" s="54">
        <f>'Graphique 33'!E17/'Graphique 33'!$C17*100</f>
        <v>91.000440076279887</v>
      </c>
      <c r="F16" s="54">
        <f>'Graphique 33'!F17/'Graphique 33'!$C17*100</f>
        <v>98.973155346926802</v>
      </c>
      <c r="G16" s="54">
        <f>'Graphique 33'!G17/'Graphique 33'!$C17*100</f>
        <v>101.58427460759864</v>
      </c>
      <c r="H16" s="54">
        <f>'Graphique 33'!H17/'Graphique 33'!$C17*100</f>
        <v>68.952618453865327</v>
      </c>
      <c r="I16" s="54">
        <f>'Graphique 33'!I17/'Graphique 33'!$C17*100</f>
        <v>83.951884993398849</v>
      </c>
      <c r="J16" s="54">
        <f>'Graphique 33'!J17/'Graphique 33'!$C17*100</f>
        <v>83.387120434208597</v>
      </c>
      <c r="K16" s="54">
        <f>'Graphique 33'!K17/'Graphique 33'!$C17*100</f>
        <v>69.091975942496703</v>
      </c>
      <c r="L16" s="54">
        <f>'Graphique 33'!L17/'Graphique 33'!$C17*100</f>
        <v>61.65468681238081</v>
      </c>
      <c r="M16" s="54">
        <f>'Graphique 33'!M17/'Graphique 33'!$C17*100</f>
        <v>104.96552735807541</v>
      </c>
      <c r="N16" s="60">
        <f>'Graphique 33'!N17/'Graphique 33'!$C17*100</f>
        <v>111.05324922986651</v>
      </c>
    </row>
    <row r="17" spans="2:14">
      <c r="B17" s="304" t="s">
        <v>27</v>
      </c>
      <c r="C17" s="63">
        <f>100</f>
        <v>100</v>
      </c>
      <c r="D17" s="55">
        <f>'Graphique 33'!D18/'Graphique 33'!$C18*100</f>
        <v>99.470640931671966</v>
      </c>
      <c r="E17" s="55">
        <f>'Graphique 33'!E18/'Graphique 33'!$C18*100</f>
        <v>91.123055623422104</v>
      </c>
      <c r="F17" s="55">
        <f>'Graphique 33'!F18/'Graphique 33'!$C18*100</f>
        <v>98.257187067350756</v>
      </c>
      <c r="G17" s="55">
        <f>'Graphique 33'!G18/'Graphique 33'!$C18*100</f>
        <v>96.327062464370059</v>
      </c>
      <c r="H17" s="55">
        <f>'Graphique 33'!H18/'Graphique 33'!$C18*100</f>
        <v>67.945272416320549</v>
      </c>
      <c r="I17" s="55">
        <f>'Graphique 33'!I18/'Graphique 33'!$C18*100</f>
        <v>79.037380894209633</v>
      </c>
      <c r="J17" s="55">
        <f>'Graphique 33'!J18/'Graphique 33'!$C18*100</f>
        <v>83.101229741835652</v>
      </c>
      <c r="K17" s="55">
        <f>'Graphique 33'!K18/'Graphique 33'!$C18*100</f>
        <v>67.570649075657627</v>
      </c>
      <c r="L17" s="55">
        <f>'Graphique 33'!L18/'Graphique 33'!$C18*100</f>
        <v>63.808127697695248</v>
      </c>
      <c r="M17" s="55">
        <f>'Graphique 33'!M18/'Graphique 33'!$C18*100</f>
        <v>106.34416483426989</v>
      </c>
      <c r="N17" s="62">
        <f>'Graphique 33'!N18/'Graphique 33'!$C18*100</f>
        <v>116.9232022151641</v>
      </c>
    </row>
    <row r="18" spans="2:14">
      <c r="B18" s="304" t="s">
        <v>26</v>
      </c>
      <c r="C18" s="63">
        <f>100</f>
        <v>100</v>
      </c>
      <c r="D18" s="55">
        <f>'Graphique 33'!D19/'Graphique 33'!$C19*100</f>
        <v>96.38643067846607</v>
      </c>
      <c r="E18" s="55">
        <f>'Graphique 33'!E19/'Graphique 33'!$C19*100</f>
        <v>90.044247787610615</v>
      </c>
      <c r="F18" s="55">
        <f>'Graphique 33'!F19/'Graphique 33'!$C19*100</f>
        <v>105.6047197640118</v>
      </c>
      <c r="G18" s="55">
        <f>'Graphique 33'!G19/'Graphique 33'!$C19*100</f>
        <v>149.18879056047197</v>
      </c>
      <c r="H18" s="55">
        <f>'Graphique 33'!H19/'Graphique 33'!$C19*100</f>
        <v>78.097345132743371</v>
      </c>
      <c r="I18" s="55">
        <f>'Graphique 33'!I19/'Graphique 33'!$C19*100</f>
        <v>128.46607669616517</v>
      </c>
      <c r="J18" s="55">
        <f>'Graphique 33'!J19/'Graphique 33'!$C19*100</f>
        <v>85.988200589970504</v>
      </c>
      <c r="K18" s="55">
        <f>'Graphique 33'!K19/'Graphique 33'!$C19*100</f>
        <v>82.817109144542783</v>
      </c>
      <c r="L18" s="55">
        <f>'Graphique 33'!L19/'Graphique 33'!$C19*100</f>
        <v>42.182890855457231</v>
      </c>
      <c r="M18" s="55">
        <f>'Graphique 33'!M19/'Graphique 33'!$C19*100</f>
        <v>92.404129793510322</v>
      </c>
      <c r="N18" s="62">
        <f>'Graphique 33'!N19/'Graphique 33'!$C19*100</f>
        <v>57.817109144542776</v>
      </c>
    </row>
    <row r="19" spans="2:14">
      <c r="B19" s="303" t="s">
        <v>25</v>
      </c>
      <c r="C19" s="61">
        <v>100</v>
      </c>
      <c r="D19" s="54">
        <f>'Graphique 33'!D20/'Graphique 33'!$C20*100</f>
        <v>81.545796518239882</v>
      </c>
      <c r="E19" s="54">
        <f>'Graphique 33'!E20/'Graphique 33'!$C20*100</f>
        <v>97.257457790219576</v>
      </c>
      <c r="F19" s="54">
        <f>'Graphique 33'!F20/'Graphique 33'!$C20*100</f>
        <v>75.185897996675706</v>
      </c>
      <c r="G19" s="54">
        <f>'Graphique 33'!G20/'Graphique 33'!$C20*100</f>
        <v>79.41562417986178</v>
      </c>
      <c r="H19" s="54">
        <f>'Graphique 33'!H20/'Graphique 33'!$C20*100</f>
        <v>86.396640713848299</v>
      </c>
      <c r="I19" s="328"/>
      <c r="J19" s="54">
        <f>'Graphique 33'!J20/'Graphique 33'!$C20*100</f>
        <v>83.706587350188087</v>
      </c>
      <c r="K19" s="54">
        <f>'Graphique 33'!K20/'Graphique 33'!$C20*100</f>
        <v>108.96684454553407</v>
      </c>
      <c r="L19" s="54">
        <f>'Graphique 33'!L20/'Graphique 33'!$C20*100</f>
        <v>96.483247309946634</v>
      </c>
      <c r="M19" s="54">
        <f>'Graphique 33'!M20/'Graphique 33'!$C20*100</f>
        <v>89.362260519639577</v>
      </c>
      <c r="N19" s="60">
        <f>'Graphique 33'!N20/'Graphique 33'!$C20*100</f>
        <v>87.113988277491032</v>
      </c>
    </row>
    <row r="20" spans="2:14" ht="15" thickBot="1">
      <c r="B20" s="305" t="s">
        <v>24</v>
      </c>
      <c r="C20" s="59">
        <v>100</v>
      </c>
      <c r="D20" s="58">
        <f>'Graphique 33'!D21/'Graphique 33'!$C21*100</f>
        <v>88.121985971065314</v>
      </c>
      <c r="E20" s="58">
        <f>'Graphique 33'!E21/'Graphique 33'!$C21*100</f>
        <v>94.91999123191583</v>
      </c>
      <c r="F20" s="58">
        <f>'Graphique 33'!F21/'Graphique 33'!$C21*100</f>
        <v>84.072227093380093</v>
      </c>
      <c r="G20" s="58">
        <f>'Graphique 33'!G21/'Graphique 33'!$C21*100</f>
        <v>87.69728189390618</v>
      </c>
      <c r="H20" s="58">
        <f>'Graphique 33'!H21/'Graphique 33'!$C21*100</f>
        <v>79.879986847873738</v>
      </c>
      <c r="I20" s="58"/>
      <c r="J20" s="58">
        <f>'Graphique 33'!J21/'Graphique 33'!$C21*100</f>
        <v>83.587242437527394</v>
      </c>
      <c r="K20" s="58">
        <f>'Graphique 33'!K21/'Graphique 33'!$C21*100</f>
        <v>94.070583077597547</v>
      </c>
      <c r="L20" s="58">
        <f>'Graphique 33'!L21/'Graphique 33'!$C21*100</f>
        <v>83.472161332748797</v>
      </c>
      <c r="M20" s="58">
        <f>'Graphique 33'!M21/'Graphique 33'!$C21*100</f>
        <v>95.191253836036822</v>
      </c>
      <c r="N20" s="57">
        <f>'Graphique 33'!N21/'Graphique 33'!$C21*100</f>
        <v>96.057102148180618</v>
      </c>
    </row>
    <row r="21" spans="2:14" ht="15" thickTop="1"/>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dimension ref="A1:AA22"/>
  <sheetViews>
    <sheetView topLeftCell="B1" zoomScaleNormal="100" workbookViewId="0">
      <selection activeCell="B2" sqref="B2"/>
    </sheetView>
  </sheetViews>
  <sheetFormatPr baseColWidth="10" defaultRowHeight="14.5"/>
  <sheetData>
    <row r="1" spans="1:27">
      <c r="A1" t="s">
        <v>10</v>
      </c>
      <c r="B1" t="s">
        <v>568</v>
      </c>
    </row>
    <row r="2" spans="1:27">
      <c r="A2" t="s">
        <v>9</v>
      </c>
      <c r="B2" t="s">
        <v>539</v>
      </c>
    </row>
    <row r="3" spans="1:27">
      <c r="A3" t="s">
        <v>8</v>
      </c>
      <c r="B3" t="s">
        <v>540</v>
      </c>
      <c r="U3" s="51"/>
    </row>
    <row r="4" spans="1:27">
      <c r="A4" t="s">
        <v>6</v>
      </c>
      <c r="B4" s="52" t="s">
        <v>541</v>
      </c>
      <c r="U4" s="51"/>
    </row>
    <row r="5" spans="1:27">
      <c r="B5" s="52" t="s">
        <v>542</v>
      </c>
      <c r="U5" s="51"/>
    </row>
    <row r="6" spans="1:27">
      <c r="B6" s="52" t="s">
        <v>543</v>
      </c>
      <c r="U6" s="51"/>
    </row>
    <row r="7" spans="1:27">
      <c r="B7" s="52" t="s">
        <v>544</v>
      </c>
      <c r="U7" s="51"/>
    </row>
    <row r="8" spans="1:27" ht="15" thickBot="1">
      <c r="B8" s="52"/>
      <c r="U8" s="51"/>
    </row>
    <row r="9" spans="1:27" ht="15.5" thickTop="1" thickBot="1">
      <c r="B9" s="352"/>
      <c r="C9" s="356"/>
      <c r="D9" s="353">
        <v>2000</v>
      </c>
      <c r="E9" s="354">
        <v>2001</v>
      </c>
      <c r="F9" s="354">
        <v>2002</v>
      </c>
      <c r="G9" s="354">
        <v>2003</v>
      </c>
      <c r="H9" s="354">
        <v>2004</v>
      </c>
      <c r="I9" s="354">
        <v>2005</v>
      </c>
      <c r="J9" s="354">
        <v>2006</v>
      </c>
      <c r="K9" s="354">
        <v>2007</v>
      </c>
      <c r="L9" s="354">
        <v>2008</v>
      </c>
      <c r="M9" s="354">
        <v>2009</v>
      </c>
      <c r="N9" s="354">
        <v>2010</v>
      </c>
      <c r="O9" s="354">
        <v>2011</v>
      </c>
      <c r="P9" s="354">
        <v>2012</v>
      </c>
      <c r="Q9" s="354">
        <v>2013</v>
      </c>
      <c r="R9" s="354">
        <v>2014</v>
      </c>
      <c r="S9" s="354">
        <v>2015</v>
      </c>
      <c r="T9" s="354">
        <v>2016</v>
      </c>
      <c r="U9" s="354">
        <v>2017</v>
      </c>
      <c r="V9" s="354">
        <v>2018</v>
      </c>
      <c r="W9" s="354">
        <v>2019</v>
      </c>
      <c r="X9" s="354">
        <v>2020</v>
      </c>
      <c r="Y9" s="354">
        <v>2021</v>
      </c>
      <c r="Z9" s="355">
        <v>2022</v>
      </c>
    </row>
    <row r="10" spans="1:27" ht="15" thickTop="1">
      <c r="B10" s="409" t="s">
        <v>43</v>
      </c>
      <c r="C10" s="364" t="s">
        <v>41</v>
      </c>
      <c r="D10" s="279">
        <f>99848+59220+29893+13872+4893+2507</f>
        <v>210233</v>
      </c>
      <c r="E10" s="75">
        <f>95881+59742+28842+13778+4481+5521+6301+2446+6639</f>
        <v>223631</v>
      </c>
      <c r="F10" s="357">
        <f>87683+71599+25077+12246+5524+5053+17015+6069+9263+7741</f>
        <v>247270</v>
      </c>
      <c r="G10" s="76">
        <v>260002</v>
      </c>
      <c r="H10" s="76">
        <f>92163+89594+26941+12551+7592+8728+34840</f>
        <v>272409</v>
      </c>
      <c r="I10" s="75">
        <f>93337+92127+27599+14238+7666+8899+29721+2482+2954</f>
        <v>279023</v>
      </c>
      <c r="J10" s="357">
        <f>94153+60444+27946+24698+8064+37588+7593+6177+2008+7059+5137</f>
        <v>280867</v>
      </c>
      <c r="K10" s="76">
        <f>91603+53588+20999+24334+6198+9779+29488+5873+5448+6469+1810+7730+12115</f>
        <v>275434</v>
      </c>
      <c r="L10" s="76">
        <f>84662+57789+25243+20680+5637+5940+21493+4865+5973+5127+1743+12591</f>
        <v>251743</v>
      </c>
      <c r="M10" s="76">
        <f>80725+39528+19535+14681+3670+7180+19568+3313+4320+4856+1760+8930</f>
        <v>208066</v>
      </c>
      <c r="N10" s="76">
        <f>74102+39144+20131+14822+2996+7430+4578+1818+17119+5384+7669+3693</f>
        <v>198886</v>
      </c>
      <c r="O10" s="76">
        <v>161790</v>
      </c>
      <c r="P10" s="76">
        <f>29076+41432+10483+21694+1768+18409+7302+7746+5063+1628+10609+2836+5187</f>
        <v>163233</v>
      </c>
      <c r="Q10" s="76">
        <f>41500+31378+23838+10393+1757+19466+9585+1878+7391+5170+2425+10305+2714</f>
        <v>167800</v>
      </c>
      <c r="R10" s="76">
        <v>350804</v>
      </c>
      <c r="S10" s="76">
        <v>204983</v>
      </c>
      <c r="T10" s="76">
        <v>216729</v>
      </c>
      <c r="U10" s="76">
        <f>95511+48558+26519+15471+4849+6318+11500+7429+1673+2328+8534+2870+3068+5190</f>
        <v>239818</v>
      </c>
      <c r="V10" s="359">
        <f>83290+88021+8536+14517+1908+7521+4349+8195+5804+3001+6749+1815+3747+5460</f>
        <v>242913</v>
      </c>
      <c r="W10" s="360"/>
      <c r="X10" s="76">
        <v>273551</v>
      </c>
      <c r="Y10" s="75">
        <v>281500</v>
      </c>
      <c r="Z10" s="361">
        <v>208100</v>
      </c>
      <c r="AA10" s="51"/>
    </row>
    <row r="11" spans="1:27">
      <c r="B11" s="410"/>
      <c r="C11" s="364" t="s">
        <v>40</v>
      </c>
      <c r="D11" s="279">
        <f>38968+2139+17934+16050+2088+3506+2612+3041</f>
        <v>86338</v>
      </c>
      <c r="E11" s="75">
        <f>38968+14888+1978+4718+3653+14986+1715+2650+3807+3438</f>
        <v>90801</v>
      </c>
      <c r="F11" s="357">
        <f>23285+20298+3485+1661+5659+5103+3495+2391+16496+1992</f>
        <v>83865</v>
      </c>
      <c r="G11" s="76">
        <v>73505</v>
      </c>
      <c r="H11" s="76">
        <f>14932+1232+4876+24966+17827+5462+5442</f>
        <v>74737</v>
      </c>
      <c r="I11" s="75">
        <f>15668+4116+13467+4545+17570</f>
        <v>55366</v>
      </c>
      <c r="J11" s="357">
        <f>29218+11504+2244+18390+4101+862+4725+17177</f>
        <v>88221</v>
      </c>
      <c r="K11" s="76">
        <f>25674+2092+10897+3815+12500+20592+13797</f>
        <v>89367</v>
      </c>
      <c r="L11" s="76">
        <f>26505+2247+9397+10356+3572+12806+2614+14048</f>
        <v>81545</v>
      </c>
      <c r="M11" s="76">
        <f>17160+2131+9239+3474+16026</f>
        <v>48030</v>
      </c>
      <c r="N11" s="76">
        <f>2192+18225+19512+5447+7808+8118</f>
        <v>61302</v>
      </c>
      <c r="O11" s="76">
        <v>42786</v>
      </c>
      <c r="P11" s="76">
        <f>14942+5544+21353+5535</f>
        <v>47374</v>
      </c>
      <c r="Q11" s="76">
        <f>14224+23649+5075+9952</f>
        <v>52900</v>
      </c>
      <c r="R11" s="76">
        <v>58653</v>
      </c>
      <c r="S11" s="76">
        <v>62945</v>
      </c>
      <c r="T11" s="76">
        <v>92959</v>
      </c>
      <c r="U11" s="76">
        <f>19292+21677+5016+14028+6172</f>
        <v>66185</v>
      </c>
      <c r="V11" s="359">
        <f>36502+22024+12820+4006+5182</f>
        <v>80534</v>
      </c>
      <c r="W11" s="360"/>
      <c r="X11" s="76">
        <v>74866</v>
      </c>
      <c r="Y11" s="75">
        <v>71700</v>
      </c>
      <c r="Z11" s="361">
        <v>70000</v>
      </c>
      <c r="AA11" s="51"/>
    </row>
    <row r="12" spans="1:27">
      <c r="B12" s="410"/>
      <c r="C12" s="364" t="s">
        <v>39</v>
      </c>
      <c r="D12" s="279">
        <f>57482+72253+22399+6376+15339+13852+1209+3266+16259+3341+2099+22938</f>
        <v>236813</v>
      </c>
      <c r="E12" s="75">
        <f>51160+67954+5700+19738+12551+14169+14840+3036+1777+3244+18726</f>
        <v>212895</v>
      </c>
      <c r="F12" s="357">
        <f>41524+21738+105504+40093+6300+14169+11101+29065+2550+2304+17256</f>
        <v>291604</v>
      </c>
      <c r="G12" s="76">
        <f>47491+99712+48452+14686+7217+9473+14488+14603+2908+2328+25633</f>
        <v>286991</v>
      </c>
      <c r="H12" s="76">
        <f>18907+51736+40946+73260+16733+22086+23018+3408+38433</f>
        <v>288527</v>
      </c>
      <c r="I12" s="75">
        <f>71039+18799+53927+4320+4382+19565+14865+13389+25095+17358+34157</f>
        <v>276896</v>
      </c>
      <c r="J12" s="357">
        <f>17194+13029+45652+245+12004</f>
        <v>88124</v>
      </c>
      <c r="K12" s="76">
        <f>20201+38698+29914+8749+6076+24596</f>
        <v>128234</v>
      </c>
      <c r="L12" s="76">
        <f>17347+53635+21608+25061+8749+3287+4791+5147</f>
        <v>139625</v>
      </c>
      <c r="M12" s="76">
        <f>24525+84797+16325+2653</f>
        <v>128300</v>
      </c>
      <c r="N12" s="77"/>
      <c r="O12" s="77"/>
      <c r="P12" s="77"/>
      <c r="Q12" s="76">
        <f>23809+25747+8052+18918</f>
        <v>76526</v>
      </c>
      <c r="R12" s="76">
        <v>94979</v>
      </c>
      <c r="S12" s="76">
        <v>69524</v>
      </c>
      <c r="T12" s="76">
        <v>92067</v>
      </c>
      <c r="U12" s="76">
        <v>80652</v>
      </c>
      <c r="V12" s="359">
        <f>30933+24653+17412+15653+1941</f>
        <v>90592</v>
      </c>
      <c r="W12" s="360"/>
      <c r="X12" s="76">
        <v>88653</v>
      </c>
      <c r="Y12" s="75">
        <v>119800</v>
      </c>
      <c r="Z12" s="361">
        <v>64600</v>
      </c>
      <c r="AA12" s="51"/>
    </row>
    <row r="13" spans="1:27">
      <c r="B13" s="410"/>
      <c r="C13" s="364" t="s">
        <v>38</v>
      </c>
      <c r="D13" s="279">
        <f t="shared" ref="D13:M13" si="0">D10+D11+D12</f>
        <v>533384</v>
      </c>
      <c r="E13" s="75">
        <f t="shared" si="0"/>
        <v>527327</v>
      </c>
      <c r="F13" s="357">
        <f t="shared" si="0"/>
        <v>622739</v>
      </c>
      <c r="G13" s="76">
        <f t="shared" si="0"/>
        <v>620498</v>
      </c>
      <c r="H13" s="76">
        <f t="shared" si="0"/>
        <v>635673</v>
      </c>
      <c r="I13" s="75">
        <f t="shared" si="0"/>
        <v>611285</v>
      </c>
      <c r="J13" s="357">
        <f t="shared" si="0"/>
        <v>457212</v>
      </c>
      <c r="K13" s="76">
        <f t="shared" si="0"/>
        <v>493035</v>
      </c>
      <c r="L13" s="76">
        <f t="shared" si="0"/>
        <v>472913</v>
      </c>
      <c r="M13" s="76">
        <f t="shared" si="0"/>
        <v>384396</v>
      </c>
      <c r="N13" s="77"/>
      <c r="O13" s="77"/>
      <c r="P13" s="77"/>
      <c r="Q13" s="76">
        <f>Q10+Q11+Q12</f>
        <v>297226</v>
      </c>
      <c r="R13" s="76">
        <v>504436</v>
      </c>
      <c r="S13" s="76">
        <v>337452</v>
      </c>
      <c r="T13" s="76">
        <v>401755</v>
      </c>
      <c r="U13" s="76">
        <f>U10+U11+U12</f>
        <v>386655</v>
      </c>
      <c r="V13" s="359">
        <f>V10+V11+V12</f>
        <v>414039</v>
      </c>
      <c r="W13" s="357">
        <v>570339</v>
      </c>
      <c r="X13" s="76">
        <v>437070</v>
      </c>
      <c r="Y13" s="75">
        <v>473000</v>
      </c>
      <c r="Z13" s="361">
        <v>342700</v>
      </c>
      <c r="AA13" s="51"/>
    </row>
    <row r="14" spans="1:27">
      <c r="B14" s="411" t="s">
        <v>31</v>
      </c>
      <c r="C14" s="365" t="s">
        <v>41</v>
      </c>
      <c r="D14" s="279">
        <f>74701+47024+17563+8884+2280+2472</f>
        <v>152924</v>
      </c>
      <c r="E14" s="75">
        <f>71687+47244+17413+8927+2365+3073+3280+2416+6303</f>
        <v>162708</v>
      </c>
      <c r="F14" s="357">
        <f>67674+50440+15222+8490+2822+2792+16860+3296+8941+7213</f>
        <v>183750</v>
      </c>
      <c r="G14" s="76">
        <f>65305+62230+15323+8331+2736+26977+3714+852</f>
        <v>185468</v>
      </c>
      <c r="H14" s="76">
        <f>61824+66622+16103+8340+3546+4746+34316</f>
        <v>195497</v>
      </c>
      <c r="I14" s="75">
        <f>55975+63837+15762+8309+4034+4442+29213+1803+2922</f>
        <v>186297</v>
      </c>
      <c r="J14" s="357">
        <f>55386+40666+15084+13833+3887+37218+6316+6175+2008+3630+2773</f>
        <v>186976</v>
      </c>
      <c r="K14" s="76">
        <f>52662+35960+11177+12838+3208+9264+29156+4589+4088+3161+1600+4083+6553</f>
        <v>178339</v>
      </c>
      <c r="L14" s="76">
        <f>48030+31246+11556+9076+2709+3383+21208+3531+3315+4366+1412+4890</f>
        <v>144722</v>
      </c>
      <c r="M14" s="76">
        <f>45054+27445+10553+8536+1735+3860+19384+2697+2245+4200+1760+4757</f>
        <v>132226</v>
      </c>
      <c r="N14" s="76">
        <f>37671+24372+9358+7793+2431+3669+2619+1273+16978+3769+3653+1818</f>
        <v>115404</v>
      </c>
      <c r="O14" s="76">
        <v>88574</v>
      </c>
      <c r="P14" s="76">
        <f>14648+18782+4343+8323+1242+15693+3654+7585+3296+1287+5650+1624+1865</f>
        <v>87992</v>
      </c>
      <c r="Q14" s="76">
        <f>20548+16751+9635+4771+1249+16952+5698+1877+7346+1948+1729+5216+1691</f>
        <v>95411</v>
      </c>
      <c r="R14" s="76">
        <v>177358</v>
      </c>
      <c r="S14" s="76">
        <v>119770</v>
      </c>
      <c r="T14" s="76">
        <v>104948</v>
      </c>
      <c r="U14" s="76">
        <f>37032+23186+10754+5768+3779+2530+11419+3183+1624+1655+3819+1455+1908+5178</f>
        <v>113290</v>
      </c>
      <c r="V14" s="359">
        <f>34986+42838+8536+3624+1908+3709+1391+8119+5804+2021+2993+1815+2449+2072</f>
        <v>122265</v>
      </c>
      <c r="W14" s="360"/>
      <c r="X14" s="76">
        <v>142804</v>
      </c>
      <c r="Y14" s="75">
        <v>136400</v>
      </c>
      <c r="Z14" s="361">
        <v>106400</v>
      </c>
      <c r="AA14" s="51"/>
    </row>
    <row r="15" spans="1:27">
      <c r="B15" s="412"/>
      <c r="C15" s="365" t="s">
        <v>40</v>
      </c>
      <c r="D15" s="279">
        <f>24877+921+11502+11063+1354+2117+1587+2625</f>
        <v>56046</v>
      </c>
      <c r="E15" s="75">
        <f>24817+9988+1333+2972+2626+9797+983+1607+1710+1732</f>
        <v>57565</v>
      </c>
      <c r="F15" s="357">
        <f>16355+13784+2031+1273+5313+2945+2989+1661+11524+729</f>
        <v>58604</v>
      </c>
      <c r="G15" s="76">
        <f>2390+11250+14832+1291+10172+2433+6237</f>
        <v>48605</v>
      </c>
      <c r="H15" s="76">
        <f>10195+947+3110+16915+12471+2695+3500</f>
        <v>49833</v>
      </c>
      <c r="I15" s="75">
        <f>9592+2796+9968+2925+6153</f>
        <v>31434</v>
      </c>
      <c r="J15" s="357">
        <f>21056+7127+1962+13241+2570+511+2947+10604</f>
        <v>60018</v>
      </c>
      <c r="K15" s="76">
        <f>16870+1720+6271+2547+8728+8242+8838</f>
        <v>53216</v>
      </c>
      <c r="L15" s="76">
        <f>12384+1608+6488+6158+2489+6032+1722+5485</f>
        <v>42366</v>
      </c>
      <c r="M15" s="76">
        <f>11875+1634+6231+2113+7763</f>
        <v>29616</v>
      </c>
      <c r="N15" s="76">
        <f>1720+12054+8277+3691+6056+5259</f>
        <v>37057</v>
      </c>
      <c r="O15" s="76">
        <v>26481</v>
      </c>
      <c r="P15" s="76">
        <f>11102+3136+9279+3759</f>
        <v>27276</v>
      </c>
      <c r="Q15" s="76">
        <f>8259+11075+3459+7544</f>
        <v>30337</v>
      </c>
      <c r="R15" s="76">
        <v>35241</v>
      </c>
      <c r="S15" s="76">
        <v>33421</v>
      </c>
      <c r="T15" s="76">
        <v>54954</v>
      </c>
      <c r="U15" s="76">
        <f>10753+8774+4372+8354+2285</f>
        <v>34538</v>
      </c>
      <c r="V15" s="359">
        <f>21459+8693+7840+2878+1857</f>
        <v>42727</v>
      </c>
      <c r="W15" s="360"/>
      <c r="X15" s="76">
        <v>39188</v>
      </c>
      <c r="Y15" s="75">
        <v>35600</v>
      </c>
      <c r="Z15" s="361">
        <v>36000</v>
      </c>
      <c r="AA15" s="51"/>
    </row>
    <row r="16" spans="1:27">
      <c r="B16" s="412"/>
      <c r="C16" s="365" t="s">
        <v>39</v>
      </c>
      <c r="D16" s="279">
        <f>26870+50362+14443+4793+10841+11206+1147+2479+10751+1706+1443+14458</f>
        <v>150499</v>
      </c>
      <c r="E16" s="75">
        <f>21690+46319+4168+13306+9353+12487+10553+2329+1291+1721+11373</f>
        <v>134590</v>
      </c>
      <c r="F16" s="357">
        <f>20821+14802+75850+7756+4853+12487+8164+18116+1978+1682+12510</f>
        <v>179019</v>
      </c>
      <c r="G16" s="76">
        <f>30849+68786+32403+14649+5467+7855+8357+10697+2314+1579+14319</f>
        <v>197275</v>
      </c>
      <c r="H16" s="76">
        <f>17623+34407+26449+49190+12051+14654+12633+2179+5263</f>
        <v>174449</v>
      </c>
      <c r="I16" s="75">
        <f>49661+13092+35311+3238+1018+11720+1776+9589+15996+10032+19986</f>
        <v>171419</v>
      </c>
      <c r="J16" s="357">
        <f>11798+9131+29350+245+6615</f>
        <v>57139</v>
      </c>
      <c r="K16" s="76">
        <f>17779+18632+20592+5665+4376+14936</f>
        <v>81980</v>
      </c>
      <c r="L16" s="76">
        <f>9546+35468+11830+16318+5665+2246+1110+5147</f>
        <v>87330</v>
      </c>
      <c r="M16" s="76">
        <f>13907+44428+10626+1781</f>
        <v>70742</v>
      </c>
      <c r="N16" s="77"/>
      <c r="O16" s="77"/>
      <c r="P16" s="77"/>
      <c r="Q16" s="76">
        <f>12120+12190+6756+9048</f>
        <v>40114</v>
      </c>
      <c r="R16" s="76">
        <v>43392</v>
      </c>
      <c r="S16" s="76">
        <v>36115</v>
      </c>
      <c r="T16" s="76">
        <v>42902</v>
      </c>
      <c r="U16" s="76">
        <f>10164+7020+11016+3981</f>
        <v>32181</v>
      </c>
      <c r="V16" s="359">
        <f>10413+11612+8540+9543+1420</f>
        <v>41528</v>
      </c>
      <c r="W16" s="360"/>
      <c r="X16" s="76">
        <v>41644</v>
      </c>
      <c r="Y16" s="75">
        <v>55000</v>
      </c>
      <c r="Z16" s="361">
        <v>25300</v>
      </c>
      <c r="AA16" s="51"/>
    </row>
    <row r="17" spans="2:27">
      <c r="B17" s="412"/>
      <c r="C17" s="365" t="s">
        <v>38</v>
      </c>
      <c r="D17" s="279">
        <f t="shared" ref="D17:M17" si="1">D14+D15+D16</f>
        <v>359469</v>
      </c>
      <c r="E17" s="75">
        <f t="shared" si="1"/>
        <v>354863</v>
      </c>
      <c r="F17" s="357">
        <f t="shared" si="1"/>
        <v>421373</v>
      </c>
      <c r="G17" s="76">
        <f t="shared" si="1"/>
        <v>431348</v>
      </c>
      <c r="H17" s="76">
        <f t="shared" si="1"/>
        <v>419779</v>
      </c>
      <c r="I17" s="75">
        <f t="shared" si="1"/>
        <v>389150</v>
      </c>
      <c r="J17" s="357">
        <f t="shared" si="1"/>
        <v>304133</v>
      </c>
      <c r="K17" s="76">
        <f t="shared" si="1"/>
        <v>313535</v>
      </c>
      <c r="L17" s="76">
        <f t="shared" si="1"/>
        <v>274418</v>
      </c>
      <c r="M17" s="76">
        <f t="shared" si="1"/>
        <v>232584</v>
      </c>
      <c r="N17" s="77"/>
      <c r="O17" s="77"/>
      <c r="P17" s="77"/>
      <c r="Q17" s="76">
        <f>Q14+Q15+Q16</f>
        <v>165862</v>
      </c>
      <c r="R17" s="76">
        <v>255991</v>
      </c>
      <c r="S17" s="76">
        <v>189306</v>
      </c>
      <c r="T17" s="76">
        <v>202804</v>
      </c>
      <c r="U17" s="76">
        <f>U14+U15+U16</f>
        <v>180009</v>
      </c>
      <c r="V17" s="359">
        <f>V14+V15+V16</f>
        <v>206520</v>
      </c>
      <c r="W17" s="357">
        <v>230795</v>
      </c>
      <c r="X17" s="81">
        <f>X14+X15+X16</f>
        <v>223636</v>
      </c>
      <c r="Y17" s="359">
        <f t="shared" ref="Y17:Z17" si="2">Y14+Y15+Y16</f>
        <v>227000</v>
      </c>
      <c r="Z17" s="362">
        <f t="shared" si="2"/>
        <v>167700</v>
      </c>
      <c r="AA17" s="51"/>
    </row>
    <row r="18" spans="2:27">
      <c r="B18" s="413" t="s">
        <v>42</v>
      </c>
      <c r="C18" s="367" t="s">
        <v>41</v>
      </c>
      <c r="D18" s="368">
        <f t="shared" ref="D18:V18" si="3">D14/D10*100</f>
        <v>72.740245346829468</v>
      </c>
      <c r="E18" s="78">
        <f t="shared" si="3"/>
        <v>72.757354749565124</v>
      </c>
      <c r="F18" s="369">
        <f t="shared" si="3"/>
        <v>74.311481376632827</v>
      </c>
      <c r="G18" s="79">
        <f t="shared" si="3"/>
        <v>71.333297436173567</v>
      </c>
      <c r="H18" s="79">
        <f t="shared" si="3"/>
        <v>71.76598423693784</v>
      </c>
      <c r="I18" s="78">
        <f t="shared" si="3"/>
        <v>66.767614139336189</v>
      </c>
      <c r="J18" s="369">
        <f t="shared" si="3"/>
        <v>66.571010478269073</v>
      </c>
      <c r="K18" s="79">
        <f t="shared" si="3"/>
        <v>64.748360768823019</v>
      </c>
      <c r="L18" s="79">
        <f t="shared" si="3"/>
        <v>57.487993707868732</v>
      </c>
      <c r="M18" s="79">
        <f t="shared" si="3"/>
        <v>63.550027395153464</v>
      </c>
      <c r="N18" s="79">
        <f t="shared" si="3"/>
        <v>58.025200366038831</v>
      </c>
      <c r="O18" s="79">
        <f t="shared" si="3"/>
        <v>54.74627603683787</v>
      </c>
      <c r="P18" s="79">
        <f t="shared" si="3"/>
        <v>53.905766603566683</v>
      </c>
      <c r="Q18" s="79">
        <f t="shared" si="3"/>
        <v>56.859952324195476</v>
      </c>
      <c r="R18" s="79">
        <f t="shared" si="3"/>
        <v>50.557576310418348</v>
      </c>
      <c r="S18" s="79">
        <f t="shared" si="3"/>
        <v>58.429235595146913</v>
      </c>
      <c r="T18" s="79">
        <f t="shared" si="3"/>
        <v>48.423607362189649</v>
      </c>
      <c r="U18" s="79">
        <f t="shared" si="3"/>
        <v>47.239990325997219</v>
      </c>
      <c r="V18" s="78">
        <f t="shared" si="3"/>
        <v>50.332835212606987</v>
      </c>
      <c r="W18" s="370"/>
      <c r="X18" s="79">
        <f t="shared" ref="X18:Y21" si="4">X14/X10*100</f>
        <v>52.203793808101594</v>
      </c>
      <c r="Y18" s="78">
        <f t="shared" si="4"/>
        <v>48.454706927175842</v>
      </c>
      <c r="Z18" s="371">
        <f>Z14/Z10*100</f>
        <v>51.129264776549732</v>
      </c>
    </row>
    <row r="19" spans="2:27">
      <c r="B19" s="410"/>
      <c r="C19" s="364" t="s">
        <v>40</v>
      </c>
      <c r="D19" s="279">
        <f t="shared" ref="D19:V19" si="5">D15/D11*100</f>
        <v>64.914637818805161</v>
      </c>
      <c r="E19" s="75">
        <f t="shared" si="5"/>
        <v>63.396878888999019</v>
      </c>
      <c r="F19" s="357">
        <f t="shared" si="5"/>
        <v>69.878972157634294</v>
      </c>
      <c r="G19" s="76">
        <f t="shared" si="5"/>
        <v>66.124753418134816</v>
      </c>
      <c r="H19" s="76">
        <f t="shared" si="5"/>
        <v>66.677816877851669</v>
      </c>
      <c r="I19" s="75">
        <f t="shared" si="5"/>
        <v>56.774916013437846</v>
      </c>
      <c r="J19" s="357">
        <f t="shared" si="5"/>
        <v>68.031421090216611</v>
      </c>
      <c r="K19" s="76">
        <f t="shared" si="5"/>
        <v>59.547707766849058</v>
      </c>
      <c r="L19" s="76">
        <f t="shared" si="5"/>
        <v>51.954135753265071</v>
      </c>
      <c r="M19" s="76">
        <f t="shared" si="5"/>
        <v>61.661461586508437</v>
      </c>
      <c r="N19" s="76">
        <f t="shared" si="5"/>
        <v>60.449903755179278</v>
      </c>
      <c r="O19" s="76">
        <f t="shared" si="5"/>
        <v>61.891740288879539</v>
      </c>
      <c r="P19" s="76">
        <f t="shared" si="5"/>
        <v>57.575885506818082</v>
      </c>
      <c r="Q19" s="76">
        <f t="shared" si="5"/>
        <v>57.347826086956523</v>
      </c>
      <c r="R19" s="76">
        <f t="shared" si="5"/>
        <v>60.083883177331089</v>
      </c>
      <c r="S19" s="76">
        <f t="shared" si="5"/>
        <v>53.095559615537368</v>
      </c>
      <c r="T19" s="76">
        <f t="shared" si="5"/>
        <v>59.116384642691941</v>
      </c>
      <c r="U19" s="76">
        <f t="shared" si="5"/>
        <v>52.184029613960867</v>
      </c>
      <c r="V19" s="75">
        <f t="shared" si="5"/>
        <v>53.054610475078846</v>
      </c>
      <c r="W19" s="360"/>
      <c r="X19" s="76">
        <f t="shared" si="4"/>
        <v>52.344188283065741</v>
      </c>
      <c r="Y19" s="75">
        <f t="shared" si="4"/>
        <v>49.651324965132495</v>
      </c>
      <c r="Z19" s="361">
        <f t="shared" ref="Z19" si="6">Z15/Z11*100</f>
        <v>51.428571428571423</v>
      </c>
    </row>
    <row r="20" spans="2:27">
      <c r="B20" s="410"/>
      <c r="C20" s="364" t="s">
        <v>39</v>
      </c>
      <c r="D20" s="279">
        <f t="shared" ref="D20:M20" si="7">D16/D12*100</f>
        <v>63.551832036248015</v>
      </c>
      <c r="E20" s="75">
        <f t="shared" si="7"/>
        <v>63.218957702153645</v>
      </c>
      <c r="F20" s="357">
        <f t="shared" si="7"/>
        <v>61.391133180614808</v>
      </c>
      <c r="G20" s="76">
        <f t="shared" si="7"/>
        <v>68.739089379109458</v>
      </c>
      <c r="H20" s="76">
        <f t="shared" si="7"/>
        <v>60.4619325054501</v>
      </c>
      <c r="I20" s="75">
        <f t="shared" si="7"/>
        <v>61.907358719519245</v>
      </c>
      <c r="J20" s="357">
        <f t="shared" si="7"/>
        <v>64.839317325586677</v>
      </c>
      <c r="K20" s="76">
        <f t="shared" si="7"/>
        <v>63.930002963332655</v>
      </c>
      <c r="L20" s="76">
        <f t="shared" si="7"/>
        <v>62.546105640107427</v>
      </c>
      <c r="M20" s="76">
        <f t="shared" si="7"/>
        <v>55.137957911145755</v>
      </c>
      <c r="N20" s="77"/>
      <c r="O20" s="77"/>
      <c r="P20" s="77"/>
      <c r="Q20" s="76">
        <f t="shared" ref="Q20:V21" si="8">Q16/Q12*100</f>
        <v>52.418785772155871</v>
      </c>
      <c r="R20" s="76">
        <f t="shared" si="8"/>
        <v>45.685888459554221</v>
      </c>
      <c r="S20" s="76">
        <f t="shared" si="8"/>
        <v>51.946090558655996</v>
      </c>
      <c r="T20" s="76">
        <f t="shared" si="8"/>
        <v>46.5986727057469</v>
      </c>
      <c r="U20" s="76">
        <f t="shared" si="8"/>
        <v>39.901056390418091</v>
      </c>
      <c r="V20" s="75">
        <f t="shared" si="8"/>
        <v>45.840692334864009</v>
      </c>
      <c r="W20" s="360"/>
      <c r="X20" s="76">
        <f t="shared" si="4"/>
        <v>46.974157670919205</v>
      </c>
      <c r="Y20" s="75">
        <f t="shared" si="4"/>
        <v>45.909849749582641</v>
      </c>
      <c r="Z20" s="361">
        <f t="shared" ref="Z20" si="9">Z16/Z12*100</f>
        <v>39.164086687306501</v>
      </c>
    </row>
    <row r="21" spans="2:27" ht="15" thickBot="1">
      <c r="B21" s="414"/>
      <c r="C21" s="366" t="s">
        <v>38</v>
      </c>
      <c r="D21" s="105">
        <f t="shared" ref="D21:M21" si="10">D17/D13*100</f>
        <v>67.394035066668664</v>
      </c>
      <c r="E21" s="72">
        <f t="shared" si="10"/>
        <v>67.294676737584084</v>
      </c>
      <c r="F21" s="358">
        <f t="shared" si="10"/>
        <v>67.664462961208471</v>
      </c>
      <c r="G21" s="73">
        <f t="shared" si="10"/>
        <v>69.516420681452644</v>
      </c>
      <c r="H21" s="73">
        <f t="shared" si="10"/>
        <v>66.036940376577263</v>
      </c>
      <c r="I21" s="72">
        <f t="shared" si="10"/>
        <v>63.660976467605124</v>
      </c>
      <c r="J21" s="358">
        <f t="shared" si="10"/>
        <v>66.519032746297128</v>
      </c>
      <c r="K21" s="73">
        <f t="shared" si="10"/>
        <v>63.592848377904211</v>
      </c>
      <c r="L21" s="73">
        <f t="shared" si="10"/>
        <v>58.027163558624949</v>
      </c>
      <c r="M21" s="73">
        <f t="shared" si="10"/>
        <v>60.506352823650609</v>
      </c>
      <c r="N21" s="74"/>
      <c r="O21" s="74"/>
      <c r="P21" s="74"/>
      <c r="Q21" s="73">
        <f t="shared" si="8"/>
        <v>55.803328107231529</v>
      </c>
      <c r="R21" s="73">
        <f t="shared" si="8"/>
        <v>50.747964062834527</v>
      </c>
      <c r="S21" s="73">
        <f t="shared" si="8"/>
        <v>56.098645140642219</v>
      </c>
      <c r="T21" s="73">
        <f t="shared" si="8"/>
        <v>50.479521101168622</v>
      </c>
      <c r="U21" s="73">
        <f t="shared" si="8"/>
        <v>46.555456414633198</v>
      </c>
      <c r="V21" s="72">
        <f t="shared" si="8"/>
        <v>49.879359190800862</v>
      </c>
      <c r="W21" s="358">
        <f>W17/W13*100</f>
        <v>40.466284087183233</v>
      </c>
      <c r="X21" s="73">
        <f t="shared" si="4"/>
        <v>51.167089939826568</v>
      </c>
      <c r="Y21" s="72">
        <f t="shared" si="4"/>
        <v>47.991543340380552</v>
      </c>
      <c r="Z21" s="363">
        <f t="shared" ref="Z21" si="11">Z17/Z13*100</f>
        <v>48.934928508899908</v>
      </c>
    </row>
    <row r="22" spans="2:27" ht="15" thickTop="1"/>
  </sheetData>
  <mergeCells count="3">
    <mergeCell ref="B10:B13"/>
    <mergeCell ref="B14:B17"/>
    <mergeCell ref="B18:B2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dimension ref="A1:Y52"/>
  <sheetViews>
    <sheetView topLeftCell="A20" zoomScale="71" zoomScaleNormal="100" workbookViewId="0">
      <selection activeCell="C49" sqref="C49"/>
    </sheetView>
  </sheetViews>
  <sheetFormatPr baseColWidth="10" defaultRowHeight="14.5"/>
  <cols>
    <col min="1" max="1" width="11" customWidth="1"/>
    <col min="2" max="2" width="40.36328125" customWidth="1"/>
  </cols>
  <sheetData>
    <row r="1" spans="1:25">
      <c r="A1" s="52" t="s">
        <v>10</v>
      </c>
      <c r="B1" s="52" t="s">
        <v>45</v>
      </c>
      <c r="C1" s="52"/>
      <c r="D1" s="52"/>
      <c r="E1" s="52"/>
      <c r="F1" s="52"/>
      <c r="G1" s="52"/>
      <c r="H1" s="52"/>
      <c r="I1" s="52"/>
      <c r="J1" s="52"/>
      <c r="K1" s="52"/>
      <c r="L1" s="52"/>
      <c r="M1" s="52"/>
      <c r="N1" s="52"/>
      <c r="O1" s="52"/>
      <c r="P1" s="52"/>
      <c r="Q1" s="52"/>
      <c r="R1" s="52"/>
      <c r="S1" s="52"/>
      <c r="T1" s="52"/>
      <c r="U1" s="52"/>
      <c r="V1" s="52"/>
      <c r="W1" s="52"/>
      <c r="X1" s="52"/>
      <c r="Y1" s="52"/>
    </row>
    <row r="2" spans="1:25">
      <c r="A2" s="52" t="s">
        <v>9</v>
      </c>
      <c r="B2" s="52" t="s">
        <v>545</v>
      </c>
      <c r="C2" s="52"/>
      <c r="D2" s="52"/>
      <c r="E2" s="52"/>
      <c r="F2" s="52"/>
      <c r="G2" s="52"/>
      <c r="H2" s="52"/>
      <c r="I2" s="52"/>
      <c r="J2" s="52"/>
      <c r="K2" s="52"/>
      <c r="L2" s="52"/>
      <c r="M2" s="52"/>
      <c r="N2" s="52"/>
      <c r="O2" s="52"/>
      <c r="P2" s="52"/>
      <c r="Q2" s="52"/>
      <c r="R2" s="52"/>
      <c r="S2" s="52"/>
      <c r="T2" s="52"/>
      <c r="U2" s="52"/>
      <c r="V2" s="52"/>
      <c r="W2" s="52"/>
      <c r="X2" s="52"/>
      <c r="Y2" s="52"/>
    </row>
    <row r="3" spans="1:25">
      <c r="A3" s="52" t="s">
        <v>8</v>
      </c>
      <c r="B3" s="52" t="s">
        <v>7</v>
      </c>
      <c r="C3" s="52"/>
      <c r="D3" s="52"/>
      <c r="E3" s="52"/>
      <c r="F3" s="52"/>
      <c r="G3" s="52"/>
      <c r="H3" s="52"/>
      <c r="I3" s="52"/>
      <c r="J3" s="52"/>
      <c r="K3" s="52"/>
      <c r="L3" s="52"/>
      <c r="M3" s="52"/>
      <c r="N3" s="52"/>
      <c r="O3" s="52"/>
      <c r="P3" s="52"/>
      <c r="Q3" s="52"/>
      <c r="R3" s="52"/>
      <c r="S3" s="52"/>
      <c r="T3" s="106"/>
      <c r="U3" s="52"/>
      <c r="V3" s="52"/>
      <c r="W3" s="52"/>
      <c r="X3" s="52"/>
      <c r="Y3" s="52"/>
    </row>
    <row r="4" spans="1:25">
      <c r="A4" s="52" t="s">
        <v>468</v>
      </c>
      <c r="B4" s="52"/>
      <c r="C4" s="52"/>
      <c r="D4" s="52"/>
      <c r="E4" s="52"/>
      <c r="F4" s="52"/>
      <c r="G4" s="52"/>
      <c r="H4" s="52"/>
      <c r="I4" s="52"/>
      <c r="J4" s="52"/>
      <c r="K4" s="52"/>
      <c r="L4" s="52"/>
      <c r="M4" s="52"/>
      <c r="N4" s="52"/>
      <c r="O4" s="52"/>
      <c r="P4" s="52"/>
      <c r="Q4" s="52"/>
      <c r="R4" s="52"/>
      <c r="S4" s="52"/>
      <c r="T4" s="52"/>
      <c r="U4" s="52"/>
      <c r="V4" s="52"/>
      <c r="W4" s="52"/>
      <c r="X4" s="52"/>
      <c r="Y4" s="52"/>
    </row>
    <row r="5" spans="1:25" ht="15" thickBot="1">
      <c r="A5" s="52"/>
      <c r="B5" s="52"/>
      <c r="C5" s="52"/>
      <c r="D5" s="52"/>
      <c r="E5" s="52"/>
      <c r="F5" s="52"/>
      <c r="G5" s="52"/>
      <c r="H5" s="52"/>
      <c r="I5" s="52"/>
      <c r="J5" s="52"/>
      <c r="K5" s="52"/>
      <c r="L5" s="52"/>
      <c r="M5" s="52"/>
      <c r="N5" s="52"/>
      <c r="O5" s="52"/>
      <c r="P5" s="52"/>
      <c r="Q5" s="52"/>
      <c r="R5" s="52"/>
      <c r="S5" s="52"/>
      <c r="T5" s="52"/>
      <c r="U5" s="52"/>
      <c r="V5" s="52"/>
      <c r="W5" s="52"/>
      <c r="X5" s="52"/>
      <c r="Y5" s="52"/>
    </row>
    <row r="6" spans="1:25" ht="15.5" thickTop="1" thickBot="1">
      <c r="B6" s="15"/>
      <c r="C6" s="14">
        <v>2000</v>
      </c>
      <c r="D6" s="13">
        <v>2001</v>
      </c>
      <c r="E6" s="13">
        <v>2002</v>
      </c>
      <c r="F6" s="13">
        <v>2003</v>
      </c>
      <c r="G6" s="13">
        <v>2004</v>
      </c>
      <c r="H6" s="13">
        <v>2005</v>
      </c>
      <c r="I6" s="13">
        <v>2006</v>
      </c>
      <c r="J6" s="13">
        <v>2007</v>
      </c>
      <c r="K6" s="13">
        <v>2008</v>
      </c>
      <c r="L6" s="13">
        <v>2009</v>
      </c>
      <c r="M6" s="13">
        <v>2010</v>
      </c>
      <c r="N6" s="13">
        <v>2011</v>
      </c>
      <c r="O6" s="13">
        <v>2012</v>
      </c>
      <c r="P6" s="13">
        <v>2013</v>
      </c>
      <c r="Q6" s="13">
        <v>2014</v>
      </c>
      <c r="R6" s="13">
        <v>2015</v>
      </c>
      <c r="S6" s="13">
        <v>2016</v>
      </c>
      <c r="T6" s="13">
        <v>2017</v>
      </c>
      <c r="U6" s="13">
        <v>2018</v>
      </c>
      <c r="V6" s="13">
        <v>2019</v>
      </c>
      <c r="W6" s="13">
        <v>2020</v>
      </c>
      <c r="X6" s="13">
        <v>2021</v>
      </c>
      <c r="Y6" s="351">
        <v>2022</v>
      </c>
    </row>
    <row r="7" spans="1:25" ht="15.5" thickTop="1" thickBot="1">
      <c r="B7" s="107" t="s">
        <v>3</v>
      </c>
      <c r="C7" s="12"/>
      <c r="D7" s="11"/>
      <c r="E7" s="11"/>
      <c r="F7" s="11"/>
      <c r="G7" s="11"/>
      <c r="H7" s="11"/>
      <c r="I7" s="11"/>
      <c r="J7" s="11"/>
      <c r="K7" s="11"/>
      <c r="L7" s="11"/>
      <c r="M7" s="11"/>
      <c r="N7" s="11"/>
      <c r="O7" s="11"/>
      <c r="P7" s="11"/>
      <c r="Q7" s="11"/>
      <c r="R7" s="11"/>
      <c r="S7" s="11"/>
      <c r="T7" s="11"/>
      <c r="U7" s="11"/>
      <c r="V7" s="11"/>
      <c r="W7" s="11"/>
      <c r="X7" s="11"/>
      <c r="Y7" s="108"/>
    </row>
    <row r="8" spans="1:25" ht="15" thickTop="1">
      <c r="B8" s="83" t="s">
        <v>2</v>
      </c>
      <c r="C8" s="42">
        <v>41711</v>
      </c>
      <c r="D8" s="41">
        <v>45322</v>
      </c>
      <c r="E8" s="41">
        <v>51759</v>
      </c>
      <c r="F8" s="41">
        <v>46431</v>
      </c>
      <c r="G8" s="41">
        <v>40842</v>
      </c>
      <c r="H8" s="41">
        <v>40986</v>
      </c>
      <c r="I8" s="41">
        <v>33209</v>
      </c>
      <c r="J8" s="41">
        <v>32595</v>
      </c>
      <c r="K8" s="41">
        <v>31761</v>
      </c>
      <c r="L8" s="41">
        <v>26838</v>
      </c>
      <c r="M8" s="41">
        <v>25246</v>
      </c>
      <c r="N8" s="41">
        <v>20088</v>
      </c>
      <c r="O8" s="41">
        <v>21801</v>
      </c>
      <c r="P8" s="41">
        <v>26610</v>
      </c>
      <c r="Q8" s="41">
        <v>47565</v>
      </c>
      <c r="R8" s="41">
        <v>34566</v>
      </c>
      <c r="S8" s="41">
        <v>39977</v>
      </c>
      <c r="T8" s="41">
        <v>38150</v>
      </c>
      <c r="U8" s="41">
        <v>36143</v>
      </c>
      <c r="V8" s="41">
        <v>36269</v>
      </c>
      <c r="W8" s="41">
        <v>36145</v>
      </c>
      <c r="X8" s="41">
        <v>35622</v>
      </c>
      <c r="Y8" s="40">
        <v>35723</v>
      </c>
    </row>
    <row r="9" spans="1:25">
      <c r="B9" s="109" t="s">
        <v>5</v>
      </c>
      <c r="C9" s="36">
        <v>521306.00000000006</v>
      </c>
      <c r="D9" s="35">
        <v>472336</v>
      </c>
      <c r="E9" s="35">
        <v>578752</v>
      </c>
      <c r="F9" s="35">
        <v>575865</v>
      </c>
      <c r="G9" s="35">
        <v>570403</v>
      </c>
      <c r="H9" s="35">
        <v>538395</v>
      </c>
      <c r="I9" s="35">
        <v>467754</v>
      </c>
      <c r="J9" s="35">
        <v>421576</v>
      </c>
      <c r="K9" s="35">
        <v>360913</v>
      </c>
      <c r="L9" s="35">
        <v>345157</v>
      </c>
      <c r="M9" s="35">
        <v>293409</v>
      </c>
      <c r="N9" s="35">
        <v>234654</v>
      </c>
      <c r="O9" s="35">
        <v>219600</v>
      </c>
      <c r="P9" s="35">
        <v>232129</v>
      </c>
      <c r="Q9" s="35">
        <v>301462</v>
      </c>
      <c r="R9" s="35">
        <v>259534</v>
      </c>
      <c r="S9" s="35">
        <v>296970</v>
      </c>
      <c r="T9" s="35">
        <v>256108</v>
      </c>
      <c r="U9" s="35">
        <v>227828.51</v>
      </c>
      <c r="V9" s="35">
        <v>205108</v>
      </c>
      <c r="W9" s="35">
        <v>192281</v>
      </c>
      <c r="X9" s="35">
        <v>192652.5</v>
      </c>
      <c r="Y9" s="34">
        <v>151038</v>
      </c>
    </row>
    <row r="10" spans="1:25">
      <c r="B10" s="83" t="s">
        <v>44</v>
      </c>
      <c r="C10" s="26">
        <f>C9/C8</f>
        <v>12.498046078971976</v>
      </c>
      <c r="D10" s="25">
        <f t="shared" ref="D10:Y10" si="0">D9/D8</f>
        <v>10.421781916067252</v>
      </c>
      <c r="E10" s="25">
        <f t="shared" si="0"/>
        <v>11.181668888502482</v>
      </c>
      <c r="F10" s="25">
        <f t="shared" si="0"/>
        <v>12.402597402597403</v>
      </c>
      <c r="G10" s="25">
        <f t="shared" si="0"/>
        <v>13.966088830125852</v>
      </c>
      <c r="H10" s="25">
        <f t="shared" si="0"/>
        <v>13.136070853462158</v>
      </c>
      <c r="I10" s="25">
        <f t="shared" si="0"/>
        <v>14.085157637989701</v>
      </c>
      <c r="J10" s="25">
        <f t="shared" si="0"/>
        <v>12.933762847062432</v>
      </c>
      <c r="K10" s="25">
        <f t="shared" si="0"/>
        <v>11.363401656119139</v>
      </c>
      <c r="L10" s="25">
        <f t="shared" si="0"/>
        <v>12.860757135405022</v>
      </c>
      <c r="M10" s="25">
        <f t="shared" si="0"/>
        <v>11.621999524677177</v>
      </c>
      <c r="N10" s="25">
        <f t="shared" si="0"/>
        <v>11.681302270011948</v>
      </c>
      <c r="O10" s="25">
        <f t="shared" si="0"/>
        <v>10.072932434292005</v>
      </c>
      <c r="P10" s="25">
        <f t="shared" si="0"/>
        <v>8.7233746711762503</v>
      </c>
      <c r="Q10" s="25">
        <f t="shared" si="0"/>
        <v>6.3378955114054456</v>
      </c>
      <c r="R10" s="25">
        <f t="shared" si="0"/>
        <v>7.5083608169877918</v>
      </c>
      <c r="S10" s="25">
        <f t="shared" si="0"/>
        <v>7.4285213998048878</v>
      </c>
      <c r="T10" s="25">
        <f t="shared" si="0"/>
        <v>6.713184796854522</v>
      </c>
      <c r="U10" s="25">
        <f t="shared" si="0"/>
        <v>6.3035306975071244</v>
      </c>
      <c r="V10" s="25">
        <f t="shared" si="0"/>
        <v>5.6551876257961347</v>
      </c>
      <c r="W10" s="25">
        <f t="shared" si="0"/>
        <v>5.3197122700235164</v>
      </c>
      <c r="X10" s="25">
        <f t="shared" si="0"/>
        <v>5.408244904834091</v>
      </c>
      <c r="Y10" s="24">
        <f t="shared" si="0"/>
        <v>4.2280323601041347</v>
      </c>
    </row>
    <row r="11" spans="1:25">
      <c r="B11" s="107" t="s">
        <v>17</v>
      </c>
      <c r="C11" s="26"/>
      <c r="D11" s="25"/>
      <c r="E11" s="25"/>
      <c r="F11" s="25"/>
      <c r="G11" s="25"/>
      <c r="H11" s="25"/>
      <c r="I11" s="25"/>
      <c r="J11" s="25"/>
      <c r="K11" s="25"/>
      <c r="L11" s="25"/>
      <c r="M11" s="25"/>
      <c r="N11" s="25"/>
      <c r="O11" s="25"/>
      <c r="P11" s="25"/>
      <c r="Q11" s="25"/>
      <c r="R11" s="25"/>
      <c r="S11" s="25"/>
      <c r="T11" s="25"/>
      <c r="U11" s="25"/>
      <c r="V11" s="25"/>
      <c r="W11" s="25"/>
      <c r="X11" s="25"/>
      <c r="Y11" s="24"/>
    </row>
    <row r="12" spans="1:25">
      <c r="B12" s="83" t="s">
        <v>2</v>
      </c>
      <c r="C12" s="26">
        <f t="shared" ref="C12:Y13" si="1">C16+C20</f>
        <v>27341</v>
      </c>
      <c r="D12" s="25">
        <f t="shared" si="1"/>
        <v>30387</v>
      </c>
      <c r="E12" s="25">
        <f t="shared" si="1"/>
        <v>32912</v>
      </c>
      <c r="F12" s="25">
        <f t="shared" si="1"/>
        <v>32012</v>
      </c>
      <c r="G12" s="25">
        <f t="shared" si="1"/>
        <v>27884</v>
      </c>
      <c r="H12" s="25">
        <f t="shared" si="1"/>
        <v>28988</v>
      </c>
      <c r="I12" s="25">
        <f t="shared" si="1"/>
        <v>24062</v>
      </c>
      <c r="J12" s="25">
        <f t="shared" si="1"/>
        <v>24281</v>
      </c>
      <c r="K12" s="25">
        <f t="shared" si="1"/>
        <v>21904</v>
      </c>
      <c r="L12" s="25">
        <f t="shared" si="1"/>
        <v>19218</v>
      </c>
      <c r="M12" s="25">
        <f t="shared" si="1"/>
        <v>18917</v>
      </c>
      <c r="N12" s="25">
        <f t="shared" si="1"/>
        <v>14955</v>
      </c>
      <c r="O12" s="25">
        <f t="shared" si="1"/>
        <v>16451</v>
      </c>
      <c r="P12" s="25">
        <f t="shared" si="1"/>
        <v>21764</v>
      </c>
      <c r="Q12" s="25">
        <f t="shared" si="1"/>
        <v>40398</v>
      </c>
      <c r="R12" s="25">
        <f t="shared" si="1"/>
        <v>26849</v>
      </c>
      <c r="S12" s="25">
        <f t="shared" si="1"/>
        <v>28756</v>
      </c>
      <c r="T12" s="25">
        <f t="shared" si="1"/>
        <v>29205</v>
      </c>
      <c r="U12" s="25">
        <f t="shared" si="1"/>
        <v>24755</v>
      </c>
      <c r="V12" s="25">
        <f t="shared" si="1"/>
        <v>26057</v>
      </c>
      <c r="W12" s="25">
        <f t="shared" si="1"/>
        <v>26188</v>
      </c>
      <c r="X12" s="25">
        <f t="shared" si="1"/>
        <v>25198</v>
      </c>
      <c r="Y12" s="24">
        <f t="shared" si="1"/>
        <v>25949</v>
      </c>
    </row>
    <row r="13" spans="1:25">
      <c r="B13" s="109" t="s">
        <v>18</v>
      </c>
      <c r="C13" s="26">
        <f t="shared" si="1"/>
        <v>227137</v>
      </c>
      <c r="D13" s="25">
        <f t="shared" si="1"/>
        <v>224140</v>
      </c>
      <c r="E13" s="25">
        <f t="shared" si="1"/>
        <v>249584</v>
      </c>
      <c r="F13" s="25">
        <f t="shared" si="1"/>
        <v>256228</v>
      </c>
      <c r="G13" s="25">
        <f t="shared" si="1"/>
        <v>267976</v>
      </c>
      <c r="H13" s="25">
        <f t="shared" si="1"/>
        <v>251210</v>
      </c>
      <c r="I13" s="25">
        <f t="shared" si="1"/>
        <v>269998</v>
      </c>
      <c r="J13" s="25">
        <f t="shared" si="1"/>
        <v>223962</v>
      </c>
      <c r="K13" s="25">
        <f t="shared" si="1"/>
        <v>190179</v>
      </c>
      <c r="L13" s="25">
        <f t="shared" si="1"/>
        <v>183135</v>
      </c>
      <c r="M13" s="25">
        <f t="shared" si="1"/>
        <v>167887</v>
      </c>
      <c r="N13" s="25">
        <f t="shared" si="1"/>
        <v>127112</v>
      </c>
      <c r="O13" s="25">
        <f t="shared" si="1"/>
        <v>123715</v>
      </c>
      <c r="P13" s="25">
        <f t="shared" si="1"/>
        <v>132035</v>
      </c>
      <c r="Q13" s="25">
        <f t="shared" si="1"/>
        <v>194707</v>
      </c>
      <c r="R13" s="25">
        <f t="shared" si="1"/>
        <v>149884</v>
      </c>
      <c r="S13" s="25">
        <f t="shared" si="1"/>
        <v>159812</v>
      </c>
      <c r="T13" s="25">
        <f t="shared" si="1"/>
        <v>154509</v>
      </c>
      <c r="U13" s="25">
        <f t="shared" si="1"/>
        <v>123311.5</v>
      </c>
      <c r="V13" s="25">
        <f t="shared" si="1"/>
        <v>136591</v>
      </c>
      <c r="W13" s="25">
        <f t="shared" si="1"/>
        <v>126211</v>
      </c>
      <c r="X13" s="25">
        <f t="shared" si="1"/>
        <v>120538.1</v>
      </c>
      <c r="Y13" s="24">
        <f t="shared" si="1"/>
        <v>90033</v>
      </c>
    </row>
    <row r="14" spans="1:25">
      <c r="B14" s="83" t="s">
        <v>44</v>
      </c>
      <c r="C14" s="26">
        <f>C13/C12</f>
        <v>8.3075600746132174</v>
      </c>
      <c r="D14" s="25">
        <f t="shared" ref="D14:Y14" si="2">D13/D12</f>
        <v>7.3761806035475699</v>
      </c>
      <c r="E14" s="25">
        <f t="shared" si="2"/>
        <v>7.583373845405931</v>
      </c>
      <c r="F14" s="25">
        <f t="shared" si="2"/>
        <v>8.0041234537048602</v>
      </c>
      <c r="G14" s="25">
        <f t="shared" si="2"/>
        <v>9.6103858843781378</v>
      </c>
      <c r="H14" s="25">
        <f t="shared" si="2"/>
        <v>8.6659997240237345</v>
      </c>
      <c r="I14" s="25">
        <f t="shared" si="2"/>
        <v>11.220929266062672</v>
      </c>
      <c r="J14" s="25">
        <f t="shared" si="2"/>
        <v>9.2237551995387346</v>
      </c>
      <c r="K14" s="25">
        <f t="shared" si="2"/>
        <v>8.682386778670562</v>
      </c>
      <c r="L14" s="25">
        <f t="shared" si="2"/>
        <v>9.52934748673119</v>
      </c>
      <c r="M14" s="25">
        <f t="shared" si="2"/>
        <v>8.8749273140561407</v>
      </c>
      <c r="N14" s="25">
        <f t="shared" si="2"/>
        <v>8.4996322300234031</v>
      </c>
      <c r="O14" s="25">
        <f t="shared" si="2"/>
        <v>7.5202115372925658</v>
      </c>
      <c r="P14" s="25">
        <f t="shared" si="2"/>
        <v>6.0666697298290755</v>
      </c>
      <c r="Q14" s="25">
        <f t="shared" si="2"/>
        <v>4.8197187979602951</v>
      </c>
      <c r="R14" s="25">
        <f t="shared" si="2"/>
        <v>5.5824797944057503</v>
      </c>
      <c r="S14" s="25">
        <f t="shared" si="2"/>
        <v>5.5575184309361525</v>
      </c>
      <c r="T14" s="25">
        <f t="shared" si="2"/>
        <v>5.2904982023626088</v>
      </c>
      <c r="U14" s="25">
        <f t="shared" si="2"/>
        <v>4.9812765097960012</v>
      </c>
      <c r="V14" s="25">
        <f t="shared" si="2"/>
        <v>5.2420079057450977</v>
      </c>
      <c r="W14" s="25">
        <f t="shared" si="2"/>
        <v>4.8194211089048418</v>
      </c>
      <c r="X14" s="25">
        <f t="shared" si="2"/>
        <v>4.7836375902849433</v>
      </c>
      <c r="Y14" s="24">
        <f t="shared" si="2"/>
        <v>3.4696134725808316</v>
      </c>
    </row>
    <row r="15" spans="1:25">
      <c r="B15" s="107" t="s">
        <v>16</v>
      </c>
      <c r="C15" s="39"/>
      <c r="D15" s="38"/>
      <c r="E15" s="38"/>
      <c r="F15" s="38"/>
      <c r="G15" s="38"/>
      <c r="H15" s="38"/>
      <c r="I15" s="38"/>
      <c r="J15" s="38"/>
      <c r="K15" s="38"/>
      <c r="L15" s="38"/>
      <c r="M15" s="38"/>
      <c r="N15" s="38"/>
      <c r="O15" s="38"/>
      <c r="P15" s="38"/>
      <c r="Q15" s="38"/>
      <c r="R15" s="38"/>
      <c r="S15" s="38"/>
      <c r="T15" s="38"/>
      <c r="U15" s="38"/>
      <c r="V15" s="38"/>
      <c r="W15" s="38"/>
      <c r="X15" s="38"/>
      <c r="Y15" s="37"/>
    </row>
    <row r="16" spans="1:25">
      <c r="B16" s="83" t="s">
        <v>2</v>
      </c>
      <c r="C16" s="36">
        <v>3246</v>
      </c>
      <c r="D16" s="35">
        <v>4088</v>
      </c>
      <c r="E16" s="35">
        <v>4261</v>
      </c>
      <c r="F16" s="35">
        <v>3333</v>
      </c>
      <c r="G16" s="35">
        <v>3304</v>
      </c>
      <c r="H16" s="35">
        <v>3208</v>
      </c>
      <c r="I16" s="35">
        <v>3872</v>
      </c>
      <c r="J16" s="35">
        <v>4108</v>
      </c>
      <c r="K16" s="35">
        <v>3950</v>
      </c>
      <c r="L16" s="35">
        <v>3920</v>
      </c>
      <c r="M16" s="35">
        <v>3670</v>
      </c>
      <c r="N16" s="35">
        <v>3522</v>
      </c>
      <c r="O16" s="35">
        <v>3330</v>
      </c>
      <c r="P16" s="35">
        <v>2938</v>
      </c>
      <c r="Q16" s="35">
        <v>4208</v>
      </c>
      <c r="R16" s="35">
        <v>3009</v>
      </c>
      <c r="S16" s="35">
        <v>3704</v>
      </c>
      <c r="T16" s="35">
        <v>4072</v>
      </c>
      <c r="U16" s="35">
        <v>3763</v>
      </c>
      <c r="V16" s="35">
        <v>3963</v>
      </c>
      <c r="W16" s="35">
        <v>4360</v>
      </c>
      <c r="X16" s="35">
        <v>4761</v>
      </c>
      <c r="Y16" s="34">
        <v>7877</v>
      </c>
    </row>
    <row r="17" spans="1:25">
      <c r="B17" s="109" t="s">
        <v>18</v>
      </c>
      <c r="C17" s="36">
        <v>70754</v>
      </c>
      <c r="D17" s="35">
        <v>70228</v>
      </c>
      <c r="E17" s="35">
        <v>101006</v>
      </c>
      <c r="F17" s="35">
        <v>99320</v>
      </c>
      <c r="G17" s="35">
        <v>109497</v>
      </c>
      <c r="H17" s="35">
        <v>102192</v>
      </c>
      <c r="I17" s="35">
        <v>139989</v>
      </c>
      <c r="J17" s="35">
        <v>109149</v>
      </c>
      <c r="K17" s="35">
        <v>88543</v>
      </c>
      <c r="L17" s="35">
        <v>89061</v>
      </c>
      <c r="M17" s="35">
        <v>86694</v>
      </c>
      <c r="N17" s="35">
        <v>82905</v>
      </c>
      <c r="O17" s="35">
        <v>76497</v>
      </c>
      <c r="P17" s="35">
        <v>79060</v>
      </c>
      <c r="Q17" s="35">
        <v>80436</v>
      </c>
      <c r="R17" s="35">
        <v>77818</v>
      </c>
      <c r="S17" s="35">
        <v>83534</v>
      </c>
      <c r="T17" s="35">
        <v>78098</v>
      </c>
      <c r="U17" s="35">
        <v>44986</v>
      </c>
      <c r="V17" s="35">
        <v>49830</v>
      </c>
      <c r="W17" s="35">
        <v>46321</v>
      </c>
      <c r="X17" s="35">
        <v>41995.3</v>
      </c>
      <c r="Y17" s="34">
        <v>48379</v>
      </c>
    </row>
    <row r="18" spans="1:25">
      <c r="B18" s="83" t="s">
        <v>44</v>
      </c>
      <c r="C18" s="26">
        <f>C17/C16</f>
        <v>21.797288971041283</v>
      </c>
      <c r="D18" s="25">
        <f t="shared" ref="D18:Y18" si="3">D17/D16</f>
        <v>17.179060665362034</v>
      </c>
      <c r="E18" s="25">
        <f t="shared" si="3"/>
        <v>23.704764139873269</v>
      </c>
      <c r="F18" s="25">
        <f t="shared" si="3"/>
        <v>29.798979897989799</v>
      </c>
      <c r="G18" s="25">
        <f t="shared" si="3"/>
        <v>33.140738498789347</v>
      </c>
      <c r="H18" s="25">
        <f t="shared" si="3"/>
        <v>31.855361596009974</v>
      </c>
      <c r="I18" s="25">
        <f t="shared" si="3"/>
        <v>36.154183884297524</v>
      </c>
      <c r="J18" s="25">
        <f t="shared" si="3"/>
        <v>26.569863680623175</v>
      </c>
      <c r="K18" s="25">
        <f t="shared" si="3"/>
        <v>22.415949367088608</v>
      </c>
      <c r="L18" s="25">
        <f t="shared" si="3"/>
        <v>22.719642857142858</v>
      </c>
      <c r="M18" s="25">
        <f t="shared" si="3"/>
        <v>23.622343324250682</v>
      </c>
      <c r="N18" s="25">
        <f t="shared" si="3"/>
        <v>23.539182282793867</v>
      </c>
      <c r="O18" s="25">
        <f t="shared" si="3"/>
        <v>22.972072072072073</v>
      </c>
      <c r="P18" s="25">
        <f t="shared" si="3"/>
        <v>26.909462219196733</v>
      </c>
      <c r="Q18" s="25">
        <f t="shared" si="3"/>
        <v>19.115019011406844</v>
      </c>
      <c r="R18" s="25">
        <f t="shared" si="3"/>
        <v>25.861748089066136</v>
      </c>
      <c r="S18" s="25">
        <f t="shared" si="3"/>
        <v>22.552375809935207</v>
      </c>
      <c r="T18" s="25">
        <f t="shared" si="3"/>
        <v>19.179273084479373</v>
      </c>
      <c r="U18" s="25">
        <f t="shared" si="3"/>
        <v>11.954823279298433</v>
      </c>
      <c r="V18" s="25">
        <f t="shared" si="3"/>
        <v>12.573807721423163</v>
      </c>
      <c r="W18" s="25">
        <f t="shared" si="3"/>
        <v>10.624082568807339</v>
      </c>
      <c r="X18" s="25">
        <f t="shared" si="3"/>
        <v>8.8206889308968712</v>
      </c>
      <c r="Y18" s="24">
        <f t="shared" si="3"/>
        <v>6.1418052558080491</v>
      </c>
    </row>
    <row r="19" spans="1:25">
      <c r="B19" s="107" t="s">
        <v>15</v>
      </c>
      <c r="C19" s="39"/>
      <c r="D19" s="38"/>
      <c r="E19" s="38"/>
      <c r="F19" s="38"/>
      <c r="G19" s="38"/>
      <c r="H19" s="38"/>
      <c r="I19" s="38"/>
      <c r="J19" s="38"/>
      <c r="K19" s="38"/>
      <c r="L19" s="38"/>
      <c r="M19" s="38"/>
      <c r="N19" s="38"/>
      <c r="O19" s="38"/>
      <c r="P19" s="38"/>
      <c r="Q19" s="38"/>
      <c r="R19" s="38"/>
      <c r="S19" s="38"/>
      <c r="T19" s="38"/>
      <c r="U19" s="38"/>
      <c r="V19" s="38"/>
      <c r="W19" s="38"/>
      <c r="X19" s="38"/>
      <c r="Y19" s="37"/>
    </row>
    <row r="20" spans="1:25">
      <c r="B20" s="83" t="s">
        <v>2</v>
      </c>
      <c r="C20" s="36">
        <v>24095</v>
      </c>
      <c r="D20" s="35">
        <v>26299</v>
      </c>
      <c r="E20" s="35">
        <v>28651</v>
      </c>
      <c r="F20" s="35">
        <v>28679</v>
      </c>
      <c r="G20" s="35">
        <v>24580</v>
      </c>
      <c r="H20" s="35">
        <v>25780</v>
      </c>
      <c r="I20" s="35">
        <v>20190</v>
      </c>
      <c r="J20" s="35">
        <v>20173</v>
      </c>
      <c r="K20" s="35">
        <v>17954</v>
      </c>
      <c r="L20" s="35">
        <v>15298</v>
      </c>
      <c r="M20" s="35">
        <v>15247</v>
      </c>
      <c r="N20" s="35">
        <v>11433</v>
      </c>
      <c r="O20" s="35">
        <v>13121</v>
      </c>
      <c r="P20" s="35">
        <v>18826</v>
      </c>
      <c r="Q20" s="35">
        <v>36190</v>
      </c>
      <c r="R20" s="35">
        <v>23840</v>
      </c>
      <c r="S20" s="35">
        <v>25052</v>
      </c>
      <c r="T20" s="35">
        <v>25133</v>
      </c>
      <c r="U20" s="35">
        <v>20992</v>
      </c>
      <c r="V20" s="35">
        <v>22094</v>
      </c>
      <c r="W20" s="35">
        <v>21828</v>
      </c>
      <c r="X20" s="35">
        <v>20437</v>
      </c>
      <c r="Y20" s="34">
        <v>18072</v>
      </c>
    </row>
    <row r="21" spans="1:25">
      <c r="B21" s="109" t="s">
        <v>18</v>
      </c>
      <c r="C21" s="36">
        <v>156383</v>
      </c>
      <c r="D21" s="35">
        <v>153912</v>
      </c>
      <c r="E21" s="35">
        <v>148578</v>
      </c>
      <c r="F21" s="35">
        <v>156908</v>
      </c>
      <c r="G21" s="35">
        <v>158479</v>
      </c>
      <c r="H21" s="35">
        <v>149018</v>
      </c>
      <c r="I21" s="35">
        <v>130008.99999999999</v>
      </c>
      <c r="J21" s="35">
        <v>114813</v>
      </c>
      <c r="K21" s="35">
        <v>101636</v>
      </c>
      <c r="L21" s="35">
        <v>94074</v>
      </c>
      <c r="M21" s="35">
        <v>81193</v>
      </c>
      <c r="N21" s="35">
        <v>44207</v>
      </c>
      <c r="O21" s="35">
        <v>47218</v>
      </c>
      <c r="P21" s="35">
        <v>52975</v>
      </c>
      <c r="Q21" s="35">
        <v>114271</v>
      </c>
      <c r="R21" s="35">
        <v>72066</v>
      </c>
      <c r="S21" s="35">
        <v>76278</v>
      </c>
      <c r="T21" s="35">
        <v>76411</v>
      </c>
      <c r="U21" s="35">
        <v>78325.5</v>
      </c>
      <c r="V21" s="35">
        <v>86761</v>
      </c>
      <c r="W21" s="35">
        <v>79890</v>
      </c>
      <c r="X21" s="35">
        <v>78542.8</v>
      </c>
      <c r="Y21" s="34">
        <v>41654</v>
      </c>
    </row>
    <row r="22" spans="1:25">
      <c r="B22" s="83" t="s">
        <v>44</v>
      </c>
      <c r="C22" s="26">
        <f>C21/C20</f>
        <v>6.4902676903921979</v>
      </c>
      <c r="D22" s="25">
        <f t="shared" ref="D22:Y22" si="4">D21/D20</f>
        <v>5.8523898247081636</v>
      </c>
      <c r="E22" s="25">
        <f t="shared" si="4"/>
        <v>5.1857875815852852</v>
      </c>
      <c r="F22" s="25">
        <f t="shared" si="4"/>
        <v>5.4711810035217407</v>
      </c>
      <c r="G22" s="25">
        <f t="shared" si="4"/>
        <v>6.4474776240846214</v>
      </c>
      <c r="H22" s="25">
        <f t="shared" si="4"/>
        <v>5.7803723816912331</v>
      </c>
      <c r="I22" s="25">
        <f t="shared" si="4"/>
        <v>6.4392768697374931</v>
      </c>
      <c r="J22" s="25">
        <f t="shared" si="4"/>
        <v>5.691419223714866</v>
      </c>
      <c r="K22" s="25">
        <f t="shared" si="4"/>
        <v>5.6609112175559764</v>
      </c>
      <c r="L22" s="25">
        <f t="shared" si="4"/>
        <v>6.1494312982089161</v>
      </c>
      <c r="M22" s="25">
        <f t="shared" si="4"/>
        <v>5.3251787236833472</v>
      </c>
      <c r="N22" s="25">
        <f t="shared" si="4"/>
        <v>3.8666141870025363</v>
      </c>
      <c r="O22" s="25">
        <f t="shared" si="4"/>
        <v>3.5986586388232604</v>
      </c>
      <c r="P22" s="25">
        <f t="shared" si="4"/>
        <v>2.8139275470094551</v>
      </c>
      <c r="Q22" s="25">
        <f t="shared" si="4"/>
        <v>3.1575297043382151</v>
      </c>
      <c r="R22" s="25">
        <f t="shared" si="4"/>
        <v>3.0229026845637583</v>
      </c>
      <c r="S22" s="25">
        <f t="shared" si="4"/>
        <v>3.0447868433657992</v>
      </c>
      <c r="T22" s="25">
        <f t="shared" si="4"/>
        <v>3.0402657860183822</v>
      </c>
      <c r="U22" s="25">
        <f t="shared" si="4"/>
        <v>3.7312071265243905</v>
      </c>
      <c r="V22" s="25">
        <f t="shared" si="4"/>
        <v>3.9269032316466008</v>
      </c>
      <c r="W22" s="25">
        <f t="shared" si="4"/>
        <v>3.6599780098955472</v>
      </c>
      <c r="X22" s="25">
        <f t="shared" si="4"/>
        <v>3.8431668053041053</v>
      </c>
      <c r="Y22" s="24">
        <f t="shared" si="4"/>
        <v>2.3048915449313854</v>
      </c>
    </row>
    <row r="23" spans="1:25">
      <c r="B23" s="107" t="s">
        <v>14</v>
      </c>
      <c r="C23" s="39"/>
      <c r="D23" s="38"/>
      <c r="E23" s="38"/>
      <c r="F23" s="38"/>
      <c r="G23" s="38"/>
      <c r="H23" s="38"/>
      <c r="I23" s="38"/>
      <c r="J23" s="38"/>
      <c r="K23" s="38"/>
      <c r="L23" s="38"/>
      <c r="M23" s="38"/>
      <c r="N23" s="38"/>
      <c r="O23" s="38"/>
      <c r="P23" s="38"/>
      <c r="Q23" s="38"/>
      <c r="R23" s="38"/>
      <c r="S23" s="38"/>
      <c r="T23" s="38"/>
      <c r="U23" s="38"/>
      <c r="V23" s="38"/>
      <c r="W23" s="38"/>
      <c r="X23" s="38"/>
      <c r="Y23" s="37"/>
    </row>
    <row r="24" spans="1:25">
      <c r="B24" s="83" t="s">
        <v>2</v>
      </c>
      <c r="C24" s="36">
        <v>4083</v>
      </c>
      <c r="D24" s="35">
        <v>4832</v>
      </c>
      <c r="E24" s="35">
        <v>5599</v>
      </c>
      <c r="F24" s="35">
        <v>4199</v>
      </c>
      <c r="G24" s="35">
        <v>3629</v>
      </c>
      <c r="H24" s="35">
        <v>3236</v>
      </c>
      <c r="I24" s="35">
        <v>5955</v>
      </c>
      <c r="J24" s="35">
        <v>5054</v>
      </c>
      <c r="K24" s="35">
        <v>5300</v>
      </c>
      <c r="L24" s="35">
        <v>3187</v>
      </c>
      <c r="M24" s="35">
        <v>3014</v>
      </c>
      <c r="N24" s="35">
        <v>2889</v>
      </c>
      <c r="O24" s="35">
        <v>3316</v>
      </c>
      <c r="P24" s="35">
        <v>2910</v>
      </c>
      <c r="Q24" s="35">
        <v>3932</v>
      </c>
      <c r="R24" s="35">
        <v>4392</v>
      </c>
      <c r="S24" s="35">
        <v>7084</v>
      </c>
      <c r="T24" s="35">
        <v>5359</v>
      </c>
      <c r="U24" s="35">
        <v>6681</v>
      </c>
      <c r="V24" s="35">
        <v>5824</v>
      </c>
      <c r="W24" s="35">
        <v>5827</v>
      </c>
      <c r="X24" s="35">
        <v>6221</v>
      </c>
      <c r="Y24" s="34">
        <v>5600</v>
      </c>
    </row>
    <row r="25" spans="1:25">
      <c r="B25" s="109" t="s">
        <v>18</v>
      </c>
      <c r="C25" s="36">
        <v>116500</v>
      </c>
      <c r="D25" s="35">
        <v>101994</v>
      </c>
      <c r="E25" s="35">
        <v>111981</v>
      </c>
      <c r="F25" s="35">
        <v>101559</v>
      </c>
      <c r="G25" s="35">
        <v>104662</v>
      </c>
      <c r="H25" s="35">
        <v>95385</v>
      </c>
      <c r="I25" s="35">
        <v>100812</v>
      </c>
      <c r="J25" s="35">
        <v>93858</v>
      </c>
      <c r="K25" s="35">
        <v>71312</v>
      </c>
      <c r="L25" s="35">
        <v>67468</v>
      </c>
      <c r="M25" s="35">
        <v>73636</v>
      </c>
      <c r="N25" s="35">
        <v>61176</v>
      </c>
      <c r="O25" s="35">
        <v>55987</v>
      </c>
      <c r="P25" s="35">
        <v>59351</v>
      </c>
      <c r="Q25" s="35">
        <v>62278</v>
      </c>
      <c r="R25" s="35">
        <v>60185</v>
      </c>
      <c r="S25" s="35">
        <v>84898</v>
      </c>
      <c r="T25" s="35">
        <v>59150</v>
      </c>
      <c r="U25" s="35">
        <v>65259.93</v>
      </c>
      <c r="V25" s="35">
        <v>36926</v>
      </c>
      <c r="W25" s="35">
        <v>38909</v>
      </c>
      <c r="X25" s="35">
        <v>38742.400000000001</v>
      </c>
      <c r="Y25" s="34">
        <v>35917</v>
      </c>
    </row>
    <row r="26" spans="1:25">
      <c r="B26" s="83" t="s">
        <v>44</v>
      </c>
      <c r="C26" s="26">
        <f>C25/C24</f>
        <v>28.532941464609355</v>
      </c>
      <c r="D26" s="25">
        <f t="shared" ref="D26:Y26" si="5">D25/D24</f>
        <v>21.108029801324502</v>
      </c>
      <c r="E26" s="25">
        <f t="shared" si="5"/>
        <v>20.000178603322023</v>
      </c>
      <c r="F26" s="25">
        <f t="shared" si="5"/>
        <v>24.186472969754703</v>
      </c>
      <c r="G26" s="25">
        <f t="shared" si="5"/>
        <v>28.840451915128135</v>
      </c>
      <c r="H26" s="25">
        <f t="shared" si="5"/>
        <v>29.476205191594563</v>
      </c>
      <c r="I26" s="25">
        <f t="shared" si="5"/>
        <v>16.928967254408061</v>
      </c>
      <c r="J26" s="25">
        <f t="shared" si="5"/>
        <v>18.571032845271073</v>
      </c>
      <c r="K26" s="25">
        <f t="shared" si="5"/>
        <v>13.455094339622642</v>
      </c>
      <c r="L26" s="25">
        <f t="shared" si="5"/>
        <v>21.169752117979289</v>
      </c>
      <c r="M26" s="25">
        <f t="shared" si="5"/>
        <v>24.431320504313206</v>
      </c>
      <c r="N26" s="25">
        <f t="shared" si="5"/>
        <v>21.175493250259606</v>
      </c>
      <c r="O26" s="25">
        <f t="shared" si="5"/>
        <v>16.883896260554884</v>
      </c>
      <c r="P26" s="25">
        <f t="shared" si="5"/>
        <v>20.39553264604811</v>
      </c>
      <c r="Q26" s="25">
        <f t="shared" si="5"/>
        <v>15.838758901322482</v>
      </c>
      <c r="R26" s="25">
        <f t="shared" si="5"/>
        <v>13.703324225865209</v>
      </c>
      <c r="S26" s="25">
        <f t="shared" si="5"/>
        <v>11.98447204968944</v>
      </c>
      <c r="T26" s="25">
        <f t="shared" si="5"/>
        <v>11.037506997574175</v>
      </c>
      <c r="U26" s="25">
        <f t="shared" si="5"/>
        <v>9.7679883251010331</v>
      </c>
      <c r="V26" s="25">
        <f t="shared" si="5"/>
        <v>6.3403159340659343</v>
      </c>
      <c r="W26" s="25">
        <f t="shared" si="5"/>
        <v>6.6773639951947832</v>
      </c>
      <c r="X26" s="25">
        <f t="shared" si="5"/>
        <v>6.2276804372287415</v>
      </c>
      <c r="Y26" s="24">
        <f t="shared" si="5"/>
        <v>6.4137500000000003</v>
      </c>
    </row>
    <row r="27" spans="1:25">
      <c r="B27" s="107" t="s">
        <v>13</v>
      </c>
      <c r="C27" s="36"/>
      <c r="D27" s="35"/>
      <c r="E27" s="35"/>
      <c r="F27" s="35"/>
      <c r="G27" s="35"/>
      <c r="H27" s="35"/>
      <c r="I27" s="35"/>
      <c r="J27" s="35"/>
      <c r="K27" s="35"/>
      <c r="L27" s="35"/>
      <c r="M27" s="35"/>
      <c r="N27" s="35"/>
      <c r="O27" s="35"/>
      <c r="P27" s="35"/>
      <c r="Q27" s="35"/>
      <c r="R27" s="35"/>
      <c r="S27" s="35"/>
      <c r="T27" s="35"/>
      <c r="U27" s="35"/>
      <c r="V27" s="35"/>
      <c r="W27" s="35"/>
      <c r="X27" s="35"/>
      <c r="Y27" s="34"/>
    </row>
    <row r="28" spans="1:25">
      <c r="B28" s="83" t="s">
        <v>2</v>
      </c>
      <c r="C28" s="36">
        <v>10287</v>
      </c>
      <c r="D28" s="35">
        <v>10103</v>
      </c>
      <c r="E28" s="35">
        <v>13248</v>
      </c>
      <c r="F28" s="35">
        <v>10220</v>
      </c>
      <c r="G28" s="35">
        <v>9329</v>
      </c>
      <c r="H28" s="35">
        <v>8762</v>
      </c>
      <c r="I28" s="35">
        <v>3192</v>
      </c>
      <c r="J28" s="35">
        <v>3260</v>
      </c>
      <c r="K28" s="35">
        <v>4557</v>
      </c>
      <c r="L28" s="35">
        <v>4433</v>
      </c>
      <c r="M28" s="35">
        <v>3315</v>
      </c>
      <c r="N28" s="35">
        <v>2244</v>
      </c>
      <c r="O28" s="35">
        <v>2034</v>
      </c>
      <c r="P28" s="35">
        <v>1936</v>
      </c>
      <c r="Q28" s="35">
        <v>3235</v>
      </c>
      <c r="R28" s="35">
        <v>3325</v>
      </c>
      <c r="S28" s="35">
        <v>4137</v>
      </c>
      <c r="T28" s="35">
        <v>3586</v>
      </c>
      <c r="U28" s="35">
        <v>4707</v>
      </c>
      <c r="V28" s="35">
        <v>4388</v>
      </c>
      <c r="W28" s="35">
        <v>4130</v>
      </c>
      <c r="X28" s="35">
        <v>4203</v>
      </c>
      <c r="Y28" s="34">
        <v>4174</v>
      </c>
    </row>
    <row r="29" spans="1:25">
      <c r="B29" s="109" t="s">
        <v>18</v>
      </c>
      <c r="C29" s="36">
        <v>177669</v>
      </c>
      <c r="D29" s="35">
        <v>146202</v>
      </c>
      <c r="E29" s="35">
        <v>217187</v>
      </c>
      <c r="F29" s="35">
        <v>218078</v>
      </c>
      <c r="G29" s="35">
        <v>197765</v>
      </c>
      <c r="H29" s="35">
        <v>191800</v>
      </c>
      <c r="I29" s="35">
        <v>96944</v>
      </c>
      <c r="J29" s="35">
        <v>103756</v>
      </c>
      <c r="K29" s="35">
        <v>99422</v>
      </c>
      <c r="L29" s="35">
        <v>94554</v>
      </c>
      <c r="M29" s="35">
        <v>51886</v>
      </c>
      <c r="N29" s="35">
        <v>46366</v>
      </c>
      <c r="O29" s="35">
        <v>39898</v>
      </c>
      <c r="P29" s="35">
        <v>40743</v>
      </c>
      <c r="Q29" s="35">
        <v>44477</v>
      </c>
      <c r="R29" s="35">
        <v>49465</v>
      </c>
      <c r="S29" s="35">
        <v>52260</v>
      </c>
      <c r="T29" s="35">
        <v>42449</v>
      </c>
      <c r="U29" s="35">
        <v>39257.08</v>
      </c>
      <c r="V29" s="35">
        <v>31591</v>
      </c>
      <c r="W29" s="35">
        <v>27161</v>
      </c>
      <c r="X29" s="35">
        <v>33372</v>
      </c>
      <c r="Y29" s="34">
        <v>25088</v>
      </c>
    </row>
    <row r="30" spans="1:25" ht="15" thickBot="1">
      <c r="B30" s="82" t="s">
        <v>44</v>
      </c>
      <c r="C30" s="22">
        <f>C29/C28</f>
        <v>17.27121609798775</v>
      </c>
      <c r="D30" s="21">
        <f t="shared" ref="D30:Y30" si="6">D29/D28</f>
        <v>14.471147184004751</v>
      </c>
      <c r="E30" s="21">
        <f t="shared" si="6"/>
        <v>16.393946256038646</v>
      </c>
      <c r="F30" s="21">
        <f t="shared" si="6"/>
        <v>21.338356164383562</v>
      </c>
      <c r="G30" s="21">
        <f t="shared" si="6"/>
        <v>21.198949512273554</v>
      </c>
      <c r="H30" s="21">
        <f t="shared" si="6"/>
        <v>21.889979456745035</v>
      </c>
      <c r="I30" s="21">
        <f t="shared" si="6"/>
        <v>30.370927318295738</v>
      </c>
      <c r="J30" s="21">
        <f t="shared" si="6"/>
        <v>31.826993865030676</v>
      </c>
      <c r="K30" s="21">
        <f t="shared" si="6"/>
        <v>21.817423743691023</v>
      </c>
      <c r="L30" s="21">
        <f t="shared" si="6"/>
        <v>21.329573652154298</v>
      </c>
      <c r="M30" s="21">
        <f t="shared" si="6"/>
        <v>15.651885369532428</v>
      </c>
      <c r="N30" s="21">
        <f t="shared" si="6"/>
        <v>20.662210338680929</v>
      </c>
      <c r="O30" s="21">
        <f t="shared" si="6"/>
        <v>19.615535889872174</v>
      </c>
      <c r="P30" s="21">
        <f t="shared" si="6"/>
        <v>21.044938016528924</v>
      </c>
      <c r="Q30" s="21">
        <f t="shared" si="6"/>
        <v>13.748686244204018</v>
      </c>
      <c r="R30" s="21">
        <f t="shared" si="6"/>
        <v>14.876691729323309</v>
      </c>
      <c r="S30" s="21">
        <f t="shared" si="6"/>
        <v>12.632342277012327</v>
      </c>
      <c r="T30" s="21">
        <f t="shared" si="6"/>
        <v>11.837423312883436</v>
      </c>
      <c r="U30" s="21">
        <f t="shared" si="6"/>
        <v>8.3401487146802644</v>
      </c>
      <c r="V30" s="21">
        <f t="shared" si="6"/>
        <v>7.1994074749316317</v>
      </c>
      <c r="W30" s="21">
        <f t="shared" si="6"/>
        <v>6.5765133171912833</v>
      </c>
      <c r="X30" s="21">
        <f t="shared" si="6"/>
        <v>7.940042826552463</v>
      </c>
      <c r="Y30" s="20">
        <f t="shared" si="6"/>
        <v>6.0105414470531864</v>
      </c>
    </row>
    <row r="31" spans="1:25" ht="15" thickTop="1">
      <c r="A31" s="52"/>
      <c r="B31" s="52"/>
      <c r="C31" s="52"/>
      <c r="D31" s="52"/>
      <c r="E31" s="52"/>
      <c r="F31" s="52"/>
      <c r="G31" s="52"/>
      <c r="H31" s="52"/>
      <c r="I31" s="52"/>
      <c r="J31" s="52"/>
      <c r="K31" s="52"/>
      <c r="L31" s="52"/>
      <c r="M31" s="52"/>
      <c r="N31" s="52"/>
      <c r="O31" s="52"/>
      <c r="P31" s="52"/>
      <c r="Q31" s="52"/>
      <c r="R31" s="52"/>
      <c r="S31" s="52"/>
      <c r="T31" s="52"/>
      <c r="U31" s="52"/>
      <c r="V31" s="52"/>
      <c r="W31" s="52"/>
      <c r="X31" s="52"/>
      <c r="Y31" s="52"/>
    </row>
    <row r="32" spans="1:25">
      <c r="A32" s="52"/>
      <c r="B32" s="52"/>
      <c r="C32" s="52"/>
      <c r="D32" s="52"/>
      <c r="E32" s="52"/>
      <c r="F32" s="52"/>
      <c r="G32" s="52"/>
      <c r="H32" s="52"/>
      <c r="I32" s="52"/>
      <c r="J32" s="52"/>
      <c r="K32" s="52"/>
      <c r="L32" s="52"/>
      <c r="M32" s="52"/>
      <c r="N32" s="52"/>
      <c r="O32" s="52"/>
      <c r="P32" s="52"/>
      <c r="Q32" s="52"/>
      <c r="R32" s="52"/>
      <c r="S32" s="52"/>
      <c r="T32" s="52"/>
      <c r="U32" s="52"/>
      <c r="V32" s="52"/>
      <c r="W32" s="52"/>
      <c r="X32" s="52"/>
      <c r="Y32" s="52"/>
    </row>
    <row r="33" spans="1:25">
      <c r="A33" s="52"/>
      <c r="B33" s="52"/>
      <c r="C33" s="52"/>
      <c r="D33" s="52"/>
      <c r="E33" s="52"/>
      <c r="F33" s="52"/>
      <c r="G33" s="52"/>
      <c r="H33" s="52"/>
      <c r="I33" s="52"/>
      <c r="J33" s="52"/>
      <c r="K33" s="52"/>
      <c r="L33" s="52"/>
      <c r="M33" s="52"/>
      <c r="N33" s="52"/>
      <c r="O33" s="52"/>
      <c r="P33" s="52"/>
      <c r="Q33" s="52"/>
      <c r="R33" s="52"/>
      <c r="S33" s="52"/>
      <c r="T33" s="52"/>
      <c r="U33" s="52"/>
      <c r="V33" s="52"/>
      <c r="W33" s="52"/>
      <c r="X33" s="52"/>
      <c r="Y33" s="52"/>
    </row>
    <row r="34" spans="1:25">
      <c r="A34" s="52"/>
      <c r="B34" s="52"/>
      <c r="C34" s="52"/>
      <c r="D34" s="52"/>
      <c r="E34" s="52"/>
      <c r="F34" s="52"/>
      <c r="G34" s="52"/>
      <c r="H34" s="52"/>
      <c r="I34" s="52"/>
      <c r="J34" s="52"/>
      <c r="K34" s="52"/>
      <c r="L34" s="52"/>
      <c r="M34" s="52"/>
      <c r="N34" s="52"/>
      <c r="O34" s="52"/>
      <c r="P34" s="52"/>
      <c r="Q34" s="52"/>
      <c r="R34" s="52"/>
      <c r="S34" s="52"/>
      <c r="T34" s="52"/>
      <c r="U34" s="52"/>
      <c r="V34" s="52"/>
      <c r="W34" s="52"/>
      <c r="X34" s="52"/>
      <c r="Y34" s="52"/>
    </row>
    <row r="35" spans="1:25">
      <c r="A35" s="52"/>
      <c r="B35" s="52"/>
      <c r="C35" s="52"/>
      <c r="D35" s="52"/>
      <c r="E35" s="52"/>
      <c r="F35" s="52"/>
      <c r="G35" s="52"/>
      <c r="H35" s="52"/>
      <c r="I35" s="52"/>
      <c r="J35" s="52"/>
      <c r="K35" s="52"/>
      <c r="L35" s="52"/>
      <c r="M35" s="52"/>
      <c r="N35" s="52"/>
      <c r="O35" s="52"/>
      <c r="P35" s="52"/>
      <c r="Q35" s="52"/>
      <c r="R35" s="52"/>
      <c r="S35" s="52"/>
      <c r="T35" s="52"/>
      <c r="U35" s="52"/>
      <c r="V35" s="52"/>
      <c r="W35" s="52"/>
      <c r="X35" s="52"/>
      <c r="Y35" s="52"/>
    </row>
    <row r="36" spans="1:25">
      <c r="A36" s="52"/>
      <c r="B36" s="52"/>
      <c r="C36" s="52"/>
      <c r="D36" s="52"/>
      <c r="E36" s="52"/>
      <c r="F36" s="52"/>
      <c r="G36" s="52"/>
      <c r="H36" s="52"/>
      <c r="I36" s="52"/>
      <c r="J36" s="52"/>
      <c r="K36" s="52"/>
      <c r="L36" s="52"/>
      <c r="M36" s="52"/>
      <c r="N36" s="52"/>
      <c r="O36" s="52"/>
      <c r="P36" s="52"/>
      <c r="Q36" s="52"/>
      <c r="R36" s="52"/>
      <c r="S36" s="52"/>
      <c r="T36" s="52"/>
      <c r="U36" s="52"/>
      <c r="V36" s="52"/>
      <c r="W36" s="52"/>
      <c r="X36" s="52"/>
      <c r="Y36" s="52"/>
    </row>
    <row r="37" spans="1:25">
      <c r="A37" s="52"/>
      <c r="B37" s="52"/>
      <c r="C37" s="52"/>
      <c r="D37" s="52"/>
      <c r="E37" s="52"/>
      <c r="F37" s="52"/>
      <c r="G37" s="52"/>
      <c r="H37" s="52"/>
      <c r="I37" s="52"/>
      <c r="J37" s="52"/>
      <c r="K37" s="52"/>
      <c r="L37" s="52"/>
      <c r="M37" s="52"/>
      <c r="N37" s="52"/>
      <c r="O37" s="52"/>
      <c r="P37" s="52"/>
      <c r="Q37" s="52"/>
      <c r="R37" s="52"/>
      <c r="S37" s="52"/>
      <c r="T37" s="52"/>
      <c r="U37" s="52"/>
      <c r="V37" s="52"/>
      <c r="W37" s="52"/>
      <c r="X37" s="52"/>
      <c r="Y37" s="52"/>
    </row>
    <row r="38" spans="1:25">
      <c r="A38" s="52"/>
      <c r="B38" s="52"/>
      <c r="C38" s="52"/>
      <c r="D38" s="52"/>
      <c r="E38" s="52"/>
      <c r="F38" s="52"/>
      <c r="G38" s="52"/>
      <c r="H38" s="52"/>
      <c r="I38" s="52"/>
      <c r="J38" s="52"/>
      <c r="K38" s="52"/>
      <c r="L38" s="52"/>
      <c r="M38" s="52"/>
      <c r="N38" s="52"/>
      <c r="O38" s="52"/>
      <c r="P38" s="52"/>
      <c r="Q38" s="52"/>
      <c r="R38" s="52"/>
      <c r="S38" s="52"/>
      <c r="T38" s="52"/>
      <c r="U38" s="52"/>
      <c r="V38" s="52"/>
      <c r="W38" s="52"/>
      <c r="X38" s="52"/>
      <c r="Y38" s="52"/>
    </row>
    <row r="39" spans="1:25">
      <c r="A39" s="52"/>
      <c r="B39" s="52"/>
      <c r="C39" s="52"/>
      <c r="D39" s="52"/>
      <c r="E39" s="52"/>
      <c r="F39" s="52"/>
      <c r="G39" s="52"/>
      <c r="H39" s="52"/>
      <c r="I39" s="52"/>
      <c r="J39" s="52"/>
      <c r="K39" s="52"/>
      <c r="L39" s="52"/>
      <c r="M39" s="52"/>
      <c r="N39" s="52"/>
      <c r="O39" s="52"/>
      <c r="P39" s="52"/>
      <c r="Q39" s="52"/>
      <c r="R39" s="52"/>
      <c r="S39" s="52"/>
      <c r="T39" s="52"/>
      <c r="U39" s="52"/>
      <c r="V39" s="52"/>
      <c r="W39" s="52"/>
      <c r="X39" s="52"/>
      <c r="Y39" s="52"/>
    </row>
    <row r="40" spans="1:25">
      <c r="A40" s="52"/>
      <c r="B40" s="52"/>
      <c r="C40" s="52"/>
      <c r="D40" s="52"/>
      <c r="E40" s="52"/>
      <c r="F40" s="52"/>
      <c r="G40" s="52"/>
      <c r="H40" s="52"/>
      <c r="I40" s="52"/>
      <c r="J40" s="52"/>
      <c r="K40" s="52"/>
      <c r="L40" s="52"/>
      <c r="M40" s="52"/>
      <c r="N40" s="52"/>
      <c r="O40" s="52"/>
      <c r="P40" s="52"/>
      <c r="Q40" s="52"/>
      <c r="R40" s="52"/>
      <c r="S40" s="52"/>
      <c r="T40" s="52"/>
      <c r="U40" s="52"/>
      <c r="V40" s="52"/>
      <c r="W40" s="52"/>
      <c r="X40" s="52"/>
      <c r="Y40" s="52"/>
    </row>
    <row r="41" spans="1:25">
      <c r="A41" s="52"/>
      <c r="B41" s="52"/>
      <c r="C41" s="52"/>
      <c r="D41" s="52"/>
      <c r="E41" s="52"/>
      <c r="F41" s="52"/>
      <c r="G41" s="52"/>
      <c r="H41" s="52"/>
      <c r="I41" s="52"/>
      <c r="J41" s="52"/>
      <c r="K41" s="52"/>
      <c r="L41" s="52"/>
      <c r="M41" s="52"/>
      <c r="N41" s="52"/>
      <c r="O41" s="52"/>
      <c r="P41" s="52"/>
      <c r="Q41" s="52"/>
      <c r="R41" s="52"/>
      <c r="S41" s="52"/>
      <c r="T41" s="52"/>
      <c r="U41" s="52"/>
      <c r="V41" s="52"/>
      <c r="W41" s="52"/>
      <c r="X41" s="52"/>
      <c r="Y41" s="52"/>
    </row>
    <row r="42" spans="1:25">
      <c r="A42" s="52"/>
      <c r="B42" s="52"/>
      <c r="C42" s="52"/>
      <c r="D42" s="52"/>
      <c r="E42" s="52"/>
      <c r="F42" s="52"/>
      <c r="G42" s="52"/>
      <c r="H42" s="52"/>
      <c r="I42" s="52"/>
      <c r="J42" s="52"/>
      <c r="K42" s="52"/>
      <c r="L42" s="52"/>
      <c r="M42" s="52"/>
      <c r="N42" s="52"/>
      <c r="O42" s="52"/>
      <c r="P42" s="52"/>
      <c r="Q42" s="52"/>
      <c r="R42" s="52"/>
      <c r="S42" s="52"/>
      <c r="T42" s="52"/>
      <c r="U42" s="52"/>
      <c r="V42" s="52"/>
      <c r="W42" s="52"/>
      <c r="X42" s="52"/>
      <c r="Y42" s="52"/>
    </row>
    <row r="43" spans="1:25">
      <c r="A43" s="52"/>
      <c r="B43" s="52"/>
      <c r="C43" s="52"/>
      <c r="D43" s="52"/>
      <c r="E43" s="52"/>
      <c r="F43" s="52"/>
      <c r="G43" s="52"/>
      <c r="H43" s="52"/>
      <c r="I43" s="52"/>
      <c r="J43" s="52"/>
      <c r="K43" s="52"/>
      <c r="L43" s="52"/>
      <c r="M43" s="52"/>
      <c r="N43" s="52"/>
      <c r="O43" s="52"/>
      <c r="P43" s="52"/>
      <c r="Q43" s="52"/>
      <c r="R43" s="52"/>
      <c r="S43" s="52"/>
      <c r="T43" s="52"/>
      <c r="U43" s="52"/>
      <c r="V43" s="52"/>
      <c r="W43" s="52"/>
      <c r="X43" s="52"/>
      <c r="Y43" s="52"/>
    </row>
    <row r="44" spans="1:25">
      <c r="A44" s="52"/>
      <c r="B44" s="52"/>
      <c r="C44" s="52"/>
      <c r="D44" s="52"/>
      <c r="E44" s="52"/>
      <c r="F44" s="52"/>
      <c r="G44" s="52"/>
      <c r="H44" s="52"/>
      <c r="I44" s="52"/>
      <c r="J44" s="52"/>
      <c r="K44" s="52"/>
      <c r="L44" s="52"/>
      <c r="M44" s="52"/>
      <c r="N44" s="52"/>
      <c r="O44" s="52"/>
      <c r="P44" s="52"/>
      <c r="Q44" s="52"/>
      <c r="R44" s="52"/>
      <c r="S44" s="52"/>
      <c r="T44" s="52"/>
      <c r="U44" s="52"/>
      <c r="V44" s="52"/>
      <c r="W44" s="52"/>
      <c r="X44" s="52"/>
      <c r="Y44" s="52"/>
    </row>
    <row r="45" spans="1:25">
      <c r="A45" s="52"/>
      <c r="B45" s="52"/>
      <c r="C45" s="52"/>
      <c r="D45" s="52"/>
      <c r="E45" s="52"/>
      <c r="F45" s="52"/>
      <c r="G45" s="52"/>
      <c r="H45" s="52"/>
      <c r="I45" s="52"/>
      <c r="J45" s="52"/>
      <c r="K45" s="52"/>
      <c r="L45" s="52"/>
      <c r="M45" s="52"/>
      <c r="N45" s="52"/>
      <c r="O45" s="52"/>
      <c r="P45" s="52"/>
      <c r="Q45" s="52"/>
      <c r="R45" s="52"/>
      <c r="S45" s="52"/>
      <c r="T45" s="52"/>
      <c r="U45" s="52"/>
      <c r="V45" s="52"/>
      <c r="W45" s="52"/>
      <c r="X45" s="52"/>
      <c r="Y45" s="52"/>
    </row>
    <row r="46" spans="1:25">
      <c r="A46" s="52"/>
      <c r="B46" s="52"/>
      <c r="C46" s="52"/>
      <c r="D46" s="52"/>
      <c r="E46" s="52"/>
      <c r="F46" s="52"/>
      <c r="G46" s="52"/>
      <c r="H46" s="52"/>
      <c r="I46" s="52"/>
      <c r="J46" s="52"/>
      <c r="K46" s="52"/>
      <c r="L46" s="52"/>
      <c r="M46" s="52"/>
      <c r="N46" s="52"/>
      <c r="O46" s="52"/>
      <c r="P46" s="52"/>
      <c r="Q46" s="52"/>
      <c r="R46" s="52"/>
      <c r="S46" s="52"/>
      <c r="T46" s="52"/>
      <c r="U46" s="52"/>
      <c r="V46" s="52"/>
      <c r="W46" s="52"/>
      <c r="X46" s="52"/>
      <c r="Y46" s="52"/>
    </row>
    <row r="47" spans="1:25">
      <c r="A47" s="52"/>
      <c r="B47" s="52"/>
      <c r="C47" s="52"/>
      <c r="D47" s="52"/>
      <c r="E47" s="52"/>
      <c r="F47" s="52"/>
      <c r="G47" s="52"/>
      <c r="H47" s="52"/>
      <c r="I47" s="52"/>
      <c r="J47" s="52"/>
      <c r="K47" s="52"/>
      <c r="L47" s="52"/>
      <c r="M47" s="52"/>
      <c r="N47" s="52"/>
      <c r="O47" s="52"/>
      <c r="P47" s="52"/>
      <c r="Q47" s="52"/>
      <c r="R47" s="52"/>
      <c r="S47" s="52"/>
      <c r="T47" s="52"/>
      <c r="U47" s="52"/>
      <c r="V47" s="52"/>
      <c r="W47" s="52"/>
      <c r="X47" s="52"/>
      <c r="Y47" s="52"/>
    </row>
    <row r="48" spans="1:25">
      <c r="A48" s="52"/>
      <c r="B48" s="52"/>
      <c r="C48" s="52"/>
      <c r="D48" s="52"/>
      <c r="E48" s="52"/>
      <c r="F48" s="52"/>
      <c r="G48" s="52"/>
      <c r="H48" s="52"/>
      <c r="I48" s="52"/>
      <c r="J48" s="52"/>
      <c r="K48" s="52"/>
      <c r="L48" s="52"/>
      <c r="M48" s="52"/>
      <c r="N48" s="52"/>
      <c r="O48" s="52"/>
      <c r="P48" s="52"/>
      <c r="Q48" s="52"/>
      <c r="R48" s="52"/>
      <c r="S48" s="52"/>
      <c r="T48" s="52"/>
      <c r="U48" s="52"/>
      <c r="V48" s="52"/>
      <c r="W48" s="52"/>
      <c r="X48" s="52"/>
      <c r="Y48" s="52"/>
    </row>
    <row r="49" spans="1:25">
      <c r="A49" s="52"/>
      <c r="B49" s="52"/>
      <c r="C49" s="52"/>
      <c r="D49" s="52"/>
      <c r="E49" s="52"/>
      <c r="F49" s="52"/>
      <c r="G49" s="52"/>
      <c r="H49" s="52"/>
      <c r="I49" s="52"/>
      <c r="J49" s="52"/>
      <c r="K49" s="52"/>
      <c r="L49" s="52"/>
      <c r="M49" s="52"/>
      <c r="N49" s="52"/>
      <c r="O49" s="52"/>
      <c r="P49" s="52"/>
      <c r="Q49" s="52"/>
      <c r="R49" s="52"/>
      <c r="S49" s="52"/>
      <c r="T49" s="52"/>
      <c r="U49" s="52"/>
      <c r="V49" s="52"/>
      <c r="W49" s="52"/>
      <c r="X49" s="52"/>
      <c r="Y49" s="52"/>
    </row>
    <row r="50" spans="1:25">
      <c r="A50" s="52"/>
      <c r="B50" s="52"/>
      <c r="C50" s="52"/>
      <c r="D50" s="52"/>
      <c r="E50" s="52"/>
      <c r="F50" s="52"/>
      <c r="G50" s="52"/>
      <c r="H50" s="52"/>
      <c r="I50" s="52"/>
      <c r="J50" s="52"/>
      <c r="K50" s="52"/>
      <c r="L50" s="52"/>
      <c r="M50" s="52"/>
      <c r="N50" s="52"/>
      <c r="O50" s="52"/>
      <c r="P50" s="52"/>
      <c r="Q50" s="52"/>
      <c r="R50" s="52"/>
      <c r="S50" s="52"/>
      <c r="T50" s="52"/>
      <c r="U50" s="52"/>
      <c r="V50" s="52"/>
      <c r="W50" s="52"/>
      <c r="X50" s="52"/>
      <c r="Y50" s="52"/>
    </row>
    <row r="51" spans="1:25">
      <c r="A51" s="52"/>
      <c r="B51" s="52"/>
      <c r="C51" s="52"/>
      <c r="D51" s="52"/>
      <c r="E51" s="52"/>
      <c r="F51" s="52"/>
      <c r="G51" s="52"/>
      <c r="H51" s="52"/>
      <c r="I51" s="52"/>
      <c r="J51" s="52"/>
      <c r="K51" s="52"/>
      <c r="L51" s="52"/>
      <c r="M51" s="52"/>
      <c r="N51" s="52"/>
      <c r="O51" s="52"/>
      <c r="P51" s="52"/>
      <c r="Q51" s="52"/>
      <c r="R51" s="52"/>
      <c r="S51" s="52"/>
      <c r="T51" s="52"/>
      <c r="U51" s="52"/>
      <c r="V51" s="52"/>
      <c r="W51" s="52"/>
      <c r="X51" s="52"/>
      <c r="Y51" s="52"/>
    </row>
    <row r="52" spans="1:25">
      <c r="A52" s="52"/>
      <c r="B52" s="52"/>
      <c r="C52" s="52"/>
      <c r="D52" s="52"/>
      <c r="E52" s="52"/>
      <c r="F52" s="52"/>
      <c r="G52" s="52"/>
      <c r="H52" s="52"/>
      <c r="I52" s="52"/>
      <c r="J52" s="52"/>
      <c r="K52" s="52"/>
      <c r="L52" s="52"/>
      <c r="M52" s="52"/>
      <c r="N52" s="52"/>
      <c r="O52" s="52"/>
      <c r="P52" s="52"/>
      <c r="Q52" s="52"/>
      <c r="R52" s="52"/>
      <c r="S52" s="52"/>
      <c r="T52" s="52"/>
      <c r="U52" s="52"/>
      <c r="V52" s="52"/>
      <c r="W52" s="52"/>
      <c r="X52" s="52"/>
      <c r="Y52" s="5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23</vt:i4>
      </vt:variant>
    </vt:vector>
  </HeadingPairs>
  <TitlesOfParts>
    <vt:vector size="23" baseType="lpstr">
      <vt:lpstr>Sommaire</vt:lpstr>
      <vt:lpstr>Graphique 29</vt:lpstr>
      <vt:lpstr>Graphique 30</vt:lpstr>
      <vt:lpstr>Graphique 31</vt:lpstr>
      <vt:lpstr>Graphique 32</vt:lpstr>
      <vt:lpstr>Graphique 33</vt:lpstr>
      <vt:lpstr>Graphique 34</vt:lpstr>
      <vt:lpstr>Graphique 35</vt:lpstr>
      <vt:lpstr>Graphique 36</vt:lpstr>
      <vt:lpstr>Graphique 37</vt:lpstr>
      <vt:lpstr>Graphique 38</vt:lpstr>
      <vt:lpstr>Graphique 39</vt:lpstr>
      <vt:lpstr>Graphique 40</vt:lpstr>
      <vt:lpstr>Graphique 41</vt:lpstr>
      <vt:lpstr>Graphique 42</vt:lpstr>
      <vt:lpstr>Graphique 43</vt:lpstr>
      <vt:lpstr>Graphique 44</vt:lpstr>
      <vt:lpstr>Graphique 45</vt:lpstr>
      <vt:lpstr>Graphique 46</vt:lpstr>
      <vt:lpstr>Tableau 2</vt:lpstr>
      <vt:lpstr>Tableau 3</vt:lpstr>
      <vt:lpstr>Graphique 47</vt:lpstr>
      <vt:lpstr>Graphique 48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2026-02-16T10:11:52Z</dcterms:modified>
</cp:coreProperties>
</file>